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90" yWindow="30" windowWidth="19440" windowHeight="11580" tabRatio="500"/>
  </bookViews>
  <sheets>
    <sheet name="Disc-NRI" sheetId="8" r:id="rId1"/>
    <sheet name="Disc Plot" sheetId="9" r:id="rId2"/>
  </sheets>
  <externalReferences>
    <externalReference r:id="rId3"/>
  </externalReferenc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8" l="1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B62" i="8"/>
  <c r="E22" i="8"/>
  <c r="F22" i="8"/>
  <c r="G22" i="8"/>
  <c r="E21" i="8"/>
  <c r="F21" i="8"/>
  <c r="G21" i="8"/>
  <c r="E20" i="8"/>
  <c r="F20" i="8"/>
  <c r="G20" i="8"/>
  <c r="E19" i="8"/>
  <c r="F19" i="8"/>
  <c r="B61" i="8"/>
  <c r="E57" i="8"/>
  <c r="C57" i="8"/>
  <c r="E56" i="8"/>
  <c r="C56" i="8"/>
  <c r="E55" i="8"/>
  <c r="C55" i="8"/>
  <c r="E54" i="8"/>
  <c r="C54" i="8"/>
  <c r="E53" i="8"/>
  <c r="C53" i="8"/>
  <c r="E52" i="8"/>
  <c r="C52" i="8"/>
  <c r="E51" i="8"/>
  <c r="F51" i="8"/>
  <c r="C51" i="8"/>
  <c r="E50" i="8"/>
  <c r="C50" i="8"/>
  <c r="E49" i="8"/>
  <c r="C49" i="8"/>
  <c r="E48" i="8"/>
  <c r="C48" i="8"/>
  <c r="E47" i="8"/>
  <c r="F47" i="8"/>
  <c r="C47" i="8"/>
  <c r="E46" i="8"/>
  <c r="C46" i="8"/>
  <c r="E45" i="8"/>
  <c r="F45" i="8"/>
  <c r="C45" i="8"/>
  <c r="E44" i="8"/>
  <c r="C44" i="8"/>
  <c r="E43" i="8"/>
  <c r="C43" i="8"/>
  <c r="E42" i="8"/>
  <c r="C42" i="8"/>
  <c r="E41" i="8"/>
  <c r="F41" i="8"/>
  <c r="C41" i="8"/>
  <c r="E40" i="8"/>
  <c r="C40" i="8"/>
  <c r="E39" i="8"/>
  <c r="C39" i="8"/>
  <c r="E38" i="8"/>
  <c r="C38" i="8"/>
  <c r="E37" i="8"/>
  <c r="C37" i="8"/>
  <c r="E36" i="8"/>
  <c r="C36" i="8"/>
  <c r="E35" i="8"/>
  <c r="F35" i="8"/>
  <c r="C35" i="8"/>
  <c r="E34" i="8"/>
  <c r="C34" i="8"/>
  <c r="E33" i="8"/>
  <c r="C33" i="8"/>
  <c r="E32" i="8"/>
  <c r="C32" i="8"/>
  <c r="E31" i="8"/>
  <c r="C31" i="8"/>
  <c r="E30" i="8"/>
  <c r="C30" i="8"/>
  <c r="E29" i="8"/>
  <c r="C29" i="8"/>
  <c r="E28" i="8"/>
  <c r="C28" i="8"/>
  <c r="E27" i="8"/>
  <c r="F27" i="8"/>
  <c r="C27" i="8"/>
  <c r="E26" i="8"/>
  <c r="C26" i="8"/>
  <c r="E25" i="8"/>
  <c r="F25" i="8"/>
  <c r="C25" i="8"/>
  <c r="E24" i="8"/>
  <c r="C24" i="8"/>
  <c r="E23" i="8"/>
  <c r="F23" i="8"/>
  <c r="C23" i="8"/>
  <c r="C22" i="8"/>
  <c r="C21" i="8"/>
  <c r="C20" i="8"/>
  <c r="C19" i="8"/>
  <c r="E18" i="8"/>
  <c r="C18" i="8"/>
  <c r="C69" i="8"/>
  <c r="E17" i="8"/>
  <c r="F17" i="8"/>
  <c r="C17" i="8"/>
  <c r="E16" i="8"/>
  <c r="C16" i="8"/>
  <c r="E15" i="8"/>
  <c r="C15" i="8"/>
  <c r="E14" i="8"/>
  <c r="C14" i="8"/>
  <c r="E13" i="8"/>
  <c r="C13" i="8"/>
  <c r="E12" i="8"/>
  <c r="C12" i="8"/>
  <c r="E11" i="8"/>
  <c r="C11" i="8"/>
  <c r="E10" i="8"/>
  <c r="C10" i="8"/>
  <c r="E9" i="8"/>
  <c r="F9" i="8"/>
  <c r="C9" i="8"/>
  <c r="E8" i="8"/>
  <c r="C8" i="8"/>
  <c r="E7" i="8"/>
  <c r="F7" i="8"/>
  <c r="C7" i="8"/>
  <c r="E6" i="8"/>
  <c r="C6" i="8"/>
  <c r="F12" i="8"/>
  <c r="F14" i="8"/>
  <c r="C70" i="8"/>
  <c r="F6" i="8"/>
  <c r="F8" i="8"/>
  <c r="F13" i="8"/>
  <c r="F37" i="8"/>
  <c r="F43" i="8"/>
  <c r="F53" i="8"/>
  <c r="F11" i="8"/>
  <c r="C68" i="8"/>
  <c r="F24" i="8"/>
  <c r="F29" i="8"/>
  <c r="F33" i="8"/>
  <c r="F39" i="8"/>
  <c r="F49" i="8"/>
  <c r="F55" i="8"/>
  <c r="F10" i="8"/>
  <c r="F15" i="8"/>
  <c r="F18" i="8"/>
  <c r="F31" i="8"/>
  <c r="F57" i="8"/>
  <c r="F56" i="8"/>
  <c r="F54" i="8"/>
  <c r="F52" i="8"/>
  <c r="F50" i="8"/>
  <c r="F48" i="8"/>
  <c r="F46" i="8"/>
  <c r="F44" i="8"/>
  <c r="F42" i="8"/>
  <c r="F40" i="8"/>
  <c r="F38" i="8"/>
  <c r="F36" i="8"/>
  <c r="F34" i="8"/>
  <c r="F32" i="8"/>
  <c r="F30" i="8"/>
  <c r="F28" i="8"/>
  <c r="F26" i="8"/>
  <c r="F16" i="8"/>
  <c r="L56" i="8"/>
  <c r="M56" i="8"/>
  <c r="L54" i="8"/>
  <c r="M54" i="8"/>
  <c r="L52" i="8"/>
  <c r="M52" i="8"/>
  <c r="L50" i="8"/>
  <c r="M50" i="8"/>
  <c r="L48" i="8"/>
  <c r="M48" i="8"/>
  <c r="L46" i="8"/>
  <c r="M46" i="8"/>
  <c r="L44" i="8"/>
  <c r="M44" i="8"/>
  <c r="L42" i="8"/>
  <c r="M42" i="8"/>
  <c r="L40" i="8"/>
  <c r="M40" i="8"/>
  <c r="L38" i="8"/>
  <c r="M38" i="8"/>
  <c r="L36" i="8"/>
  <c r="M36" i="8"/>
  <c r="L34" i="8"/>
  <c r="M34" i="8"/>
  <c r="L24" i="8"/>
  <c r="M24" i="8"/>
  <c r="L22" i="8"/>
  <c r="M22" i="8"/>
  <c r="L21" i="8"/>
  <c r="M21" i="8"/>
  <c r="L17" i="8"/>
  <c r="M17" i="8"/>
  <c r="L23" i="8"/>
  <c r="M23" i="8"/>
  <c r="L14" i="8"/>
  <c r="M14" i="8"/>
  <c r="L12" i="8"/>
  <c r="M12" i="8"/>
  <c r="L10" i="8"/>
  <c r="M10" i="8"/>
  <c r="L7" i="8"/>
  <c r="M7" i="8"/>
  <c r="L55" i="8"/>
  <c r="M55" i="8"/>
  <c r="N54" i="8"/>
  <c r="L53" i="8"/>
  <c r="M53" i="8"/>
  <c r="N52" i="8"/>
  <c r="L51" i="8"/>
  <c r="M51" i="8"/>
  <c r="N50" i="8"/>
  <c r="L49" i="8"/>
  <c r="M49" i="8"/>
  <c r="N48" i="8"/>
  <c r="L47" i="8"/>
  <c r="M47" i="8"/>
  <c r="N46" i="8"/>
  <c r="L45" i="8"/>
  <c r="M45" i="8"/>
  <c r="N44" i="8"/>
  <c r="L43" i="8"/>
  <c r="M43" i="8"/>
  <c r="N42" i="8"/>
  <c r="L41" i="8"/>
  <c r="M41" i="8"/>
  <c r="N40" i="8"/>
  <c r="L39" i="8"/>
  <c r="M39" i="8"/>
  <c r="N38" i="8"/>
  <c r="L37" i="8"/>
  <c r="M37" i="8"/>
  <c r="N36" i="8"/>
  <c r="L35" i="8"/>
  <c r="M35" i="8"/>
  <c r="N34" i="8"/>
  <c r="L19" i="8"/>
  <c r="M19" i="8"/>
  <c r="L15" i="8"/>
  <c r="M15" i="8"/>
  <c r="N14" i="8"/>
  <c r="L33" i="8"/>
  <c r="M33" i="8"/>
  <c r="L32" i="8"/>
  <c r="M32" i="8"/>
  <c r="L31" i="8"/>
  <c r="M31" i="8"/>
  <c r="L30" i="8"/>
  <c r="M30" i="8"/>
  <c r="L29" i="8"/>
  <c r="M29" i="8"/>
  <c r="L28" i="8"/>
  <c r="M28" i="8"/>
  <c r="L27" i="8"/>
  <c r="M27" i="8"/>
  <c r="L26" i="8"/>
  <c r="M26" i="8"/>
  <c r="L25" i="8"/>
  <c r="M25" i="8"/>
  <c r="L13" i="8"/>
  <c r="M13" i="8"/>
  <c r="L11" i="8"/>
  <c r="M11" i="8"/>
  <c r="L8" i="8"/>
  <c r="M8" i="8"/>
  <c r="L6" i="8"/>
  <c r="M6" i="8"/>
  <c r="L18" i="8"/>
  <c r="M18" i="8"/>
  <c r="N17" i="8"/>
  <c r="L20" i="8"/>
  <c r="M20" i="8"/>
  <c r="N19" i="8"/>
  <c r="L16" i="8"/>
  <c r="M16" i="8"/>
  <c r="N15" i="8"/>
  <c r="L9" i="8"/>
  <c r="M9" i="8"/>
  <c r="N25" i="8"/>
  <c r="N29" i="8"/>
  <c r="N21" i="8"/>
  <c r="N10" i="8"/>
  <c r="N18" i="8"/>
  <c r="N7" i="8"/>
  <c r="N13" i="8"/>
  <c r="N37" i="8"/>
  <c r="N45" i="8"/>
  <c r="N53" i="8"/>
  <c r="N24" i="8"/>
  <c r="N28" i="8"/>
  <c r="N32" i="8"/>
  <c r="N35" i="8"/>
  <c r="N43" i="8"/>
  <c r="N51" i="8"/>
  <c r="N26" i="8"/>
  <c r="N30" i="8"/>
  <c r="N6" i="8"/>
  <c r="N22" i="8"/>
  <c r="N23" i="8"/>
  <c r="N39" i="8"/>
  <c r="N47" i="8"/>
  <c r="N55" i="8"/>
  <c r="N12" i="8"/>
  <c r="N27" i="8"/>
  <c r="N31" i="8"/>
  <c r="N9" i="8"/>
  <c r="N16" i="8"/>
  <c r="N33" i="8"/>
  <c r="N41" i="8"/>
  <c r="N49" i="8"/>
  <c r="N8" i="8"/>
  <c r="N11" i="8"/>
  <c r="N20" i="8"/>
  <c r="J11" i="8"/>
  <c r="J10" i="8"/>
  <c r="J19" i="8"/>
  <c r="J21" i="8"/>
  <c r="J23" i="8"/>
  <c r="J15" i="8"/>
  <c r="J16" i="8"/>
</calcChain>
</file>

<file path=xl/sharedStrings.xml><?xml version="1.0" encoding="utf-8"?>
<sst xmlns="http://schemas.openxmlformats.org/spreadsheetml/2006/main" count="32" uniqueCount="31">
  <si>
    <t>Species:</t>
  </si>
  <si>
    <t>E.coli</t>
  </si>
  <si>
    <t>Antimicrob.</t>
  </si>
  <si>
    <t>S ≥ mm</t>
  </si>
  <si>
    <t>Zone diam</t>
  </si>
  <si>
    <t>No isolates</t>
  </si>
  <si>
    <t>Per cent</t>
  </si>
  <si>
    <t>Mov Aver</t>
  </si>
  <si>
    <t>Probit</t>
  </si>
  <si>
    <t>NonWT&lt;</t>
  </si>
  <si>
    <t>mm zone</t>
  </si>
  <si>
    <t>Mean =</t>
  </si>
  <si>
    <t>SD</t>
  </si>
  <si>
    <t>First drop</t>
  </si>
  <si>
    <t>Adjacent %</t>
  </si>
  <si>
    <t xml:space="preserve">above </t>
  </si>
  <si>
    <t xml:space="preserve">below </t>
  </si>
  <si>
    <t>Modulation</t>
  </si>
  <si>
    <t>Gentamicin</t>
  </si>
  <si>
    <t>Putative peak</t>
  </si>
  <si>
    <t>Fraction</t>
  </si>
  <si>
    <t>Eq.const A</t>
  </si>
  <si>
    <t>Const B</t>
  </si>
  <si>
    <t>SD -2.5</t>
  </si>
  <si>
    <t>Normalized Resistance Interpretation, NRI, calculations on disc diffusion test results</t>
  </si>
  <si>
    <t>NRI calculated probit</t>
  </si>
  <si>
    <t>True per cent</t>
  </si>
  <si>
    <t>Accum. sum</t>
  </si>
  <si>
    <t>Total No</t>
  </si>
  <si>
    <t>Total estim WT</t>
  </si>
  <si>
    <t>Functional peak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</si>
</sst>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scheme val="minor"/>
    </font>
    <font>
      <b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ABFFB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3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3" borderId="1" xfId="1" applyFont="1" applyFill="1"/>
    <xf numFmtId="0" fontId="2" fillId="0" borderId="0" xfId="0" applyFont="1" applyAlignment="1">
      <alignment horizontal="center"/>
    </xf>
    <xf numFmtId="164" fontId="0" fillId="3" borderId="1" xfId="1" applyNumberFormat="1" applyFont="1" applyFill="1" applyAlignment="1">
      <alignment horizontal="center"/>
    </xf>
    <xf numFmtId="0" fontId="0" fillId="4" borderId="0" xfId="0" applyFill="1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5" borderId="0" xfId="0" applyFill="1" applyAlignment="1">
      <alignment vertical="center"/>
    </xf>
    <xf numFmtId="0" fontId="0" fillId="0" borderId="0" xfId="0" applyFill="1"/>
    <xf numFmtId="1" fontId="0" fillId="0" borderId="0" xfId="0" applyNumberFormat="1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/>
    </xf>
    <xf numFmtId="0" fontId="0" fillId="7" borderId="0" xfId="0" applyFill="1"/>
    <xf numFmtId="1" fontId="4" fillId="0" borderId="0" xfId="0" applyNumberFormat="1" applyFont="1" applyFill="1" applyAlignment="1">
      <alignment horizontal="center"/>
    </xf>
    <xf numFmtId="1" fontId="0" fillId="8" borderId="0" xfId="0" applyNumberFormat="1" applyFill="1" applyAlignment="1">
      <alignment horizontal="center"/>
    </xf>
    <xf numFmtId="0" fontId="0" fillId="9" borderId="0" xfId="0" applyFill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Font="1"/>
    <xf numFmtId="0" fontId="0" fillId="0" borderId="0" xfId="0" applyFill="1" applyAlignment="1">
      <alignment vertical="center"/>
    </xf>
    <xf numFmtId="164" fontId="0" fillId="10" borderId="0" xfId="0" applyNumberFormat="1" applyFill="1"/>
    <xf numFmtId="0" fontId="2" fillId="5" borderId="0" xfId="0" applyFont="1" applyFill="1" applyAlignment="1">
      <alignment vertical="center"/>
    </xf>
    <xf numFmtId="164" fontId="0" fillId="0" borderId="0" xfId="0" applyNumberFormat="1" applyFill="1"/>
    <xf numFmtId="0" fontId="0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0" fillId="6" borderId="0" xfId="0" applyNumberFormat="1" applyFill="1" applyAlignment="1">
      <alignment horizontal="center"/>
    </xf>
    <xf numFmtId="0" fontId="4" fillId="11" borderId="0" xfId="0" applyFont="1" applyFill="1" applyBorder="1" applyAlignment="1">
      <alignment horizontal="center"/>
    </xf>
    <xf numFmtId="0" fontId="4" fillId="11" borderId="0" xfId="0" applyFont="1" applyFill="1" applyBorder="1" applyAlignment="1">
      <alignment horizontal="center" vertical="center" wrapText="1"/>
    </xf>
    <xf numFmtId="1" fontId="0" fillId="12" borderId="0" xfId="0" applyNumberFormat="1" applyFill="1" applyAlignment="1">
      <alignment horizontal="center"/>
    </xf>
    <xf numFmtId="164" fontId="5" fillId="0" borderId="0" xfId="0" applyNumberFormat="1" applyFont="1" applyFill="1"/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</cellXfs>
  <cellStyles count="2">
    <cellStyle name="Anteckning" xfId="1" builtinId="10"/>
    <cellStyle name="Normal" xfId="0" builtinId="0"/>
  </cellStyles>
  <dxfs count="0"/>
  <tableStyles count="0" defaultTableStyle="TableStyleMedium9" defaultPivotStyle="PivotStyleMedium4"/>
  <colors>
    <mruColors>
      <color rgb="FFABFFB3"/>
      <color rgb="FFFFCCFF"/>
      <color rgb="FF99FF99"/>
      <color rgb="FF79DC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E.coli &amp; gentamicin</a:t>
            </a:r>
          </a:p>
        </c:rich>
      </c:tx>
      <c:layout>
        <c:manualLayout>
          <c:xMode val="edge"/>
          <c:yMode val="edge"/>
          <c:x val="0.37125129265770423"/>
          <c:y val="5.0847457627118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013443640124093E-2"/>
          <c:y val="0.12542372881355932"/>
          <c:w val="0.92864529472595658"/>
          <c:h val="0.764406779661017"/>
        </c:manualLayout>
      </c:layout>
      <c:barChart>
        <c:barDir val="col"/>
        <c:grouping val="clustered"/>
        <c:varyColors val="0"/>
        <c:ser>
          <c:idx val="1"/>
          <c:order val="1"/>
          <c:tx>
            <c:v>Per cent isolates</c:v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val>
            <c:numRef>
              <c:f>'Disc-NRI'!$D$6:$D$55</c:f>
              <c:numCache>
                <c:formatCode>0,00000</c:formatCode>
                <c:ptCount val="50"/>
                <c:pt idx="0">
                  <c:v>5.9113300492610836</c:v>
                </c:pt>
                <c:pt idx="1">
                  <c:v>0.34103827207275483</c:v>
                </c:pt>
                <c:pt idx="2">
                  <c:v>1.2504736642667678</c:v>
                </c:pt>
                <c:pt idx="3">
                  <c:v>0.41682455475558922</c:v>
                </c:pt>
                <c:pt idx="4">
                  <c:v>0.53050397877984079</c:v>
                </c:pt>
                <c:pt idx="5">
                  <c:v>0.64418340280409248</c:v>
                </c:pt>
                <c:pt idx="6">
                  <c:v>0.15157256536566882</c:v>
                </c:pt>
                <c:pt idx="7">
                  <c:v>0.18946570670708601</c:v>
                </c:pt>
                <c:pt idx="8">
                  <c:v>7.578628268283441E-2</c:v>
                </c:pt>
                <c:pt idx="9">
                  <c:v>0.11367942402425162</c:v>
                </c:pt>
                <c:pt idx="10">
                  <c:v>0.22735884804850323</c:v>
                </c:pt>
                <c:pt idx="11">
                  <c:v>5.380826070481243</c:v>
                </c:pt>
                <c:pt idx="12">
                  <c:v>14.816218264494127</c:v>
                </c:pt>
                <c:pt idx="13">
                  <c:v>24.51686244789693</c:v>
                </c:pt>
                <c:pt idx="14">
                  <c:v>22.849564228874574</c:v>
                </c:pt>
                <c:pt idx="15">
                  <c:v>12.883668056081849</c:v>
                </c:pt>
                <c:pt idx="16">
                  <c:v>5.4945054945054945</c:v>
                </c:pt>
                <c:pt idx="17">
                  <c:v>2.2356953391436152</c:v>
                </c:pt>
                <c:pt idx="18">
                  <c:v>0.53050397877984079</c:v>
                </c:pt>
                <c:pt idx="19">
                  <c:v>0.68207654414550967</c:v>
                </c:pt>
                <c:pt idx="20">
                  <c:v>0.2652519893899204</c:v>
                </c:pt>
                <c:pt idx="21">
                  <c:v>0.15157256536566882</c:v>
                </c:pt>
                <c:pt idx="22">
                  <c:v>0.15157256536566882</c:v>
                </c:pt>
                <c:pt idx="23">
                  <c:v>0.15157256536566882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3.7893141341417205E-2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4511744"/>
        <c:axId val="103247872"/>
      </c:barChart>
      <c:lineChart>
        <c:grouping val="standard"/>
        <c:varyColors val="0"/>
        <c:ser>
          <c:idx val="0"/>
          <c:order val="0"/>
          <c:tx>
            <c:v>NRI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'[1]Disc NRI'!$A$6:$A$55</c:f>
              <c:numCache>
                <c:formatCode>Standard</c:formatCode>
                <c:ptCount val="50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54</c:v>
                </c:pt>
                <c:pt idx="49">
                  <c:v>55</c:v>
                </c:pt>
              </c:numCache>
            </c:numRef>
          </c:cat>
          <c:val>
            <c:numRef>
              <c:f>'Disc-NRI'!$N$6:$N$55</c:f>
              <c:numCache>
                <c:formatCode>Standard</c:formatCode>
                <c:ptCount val="50"/>
                <c:pt idx="0">
                  <c:v>3.5911432324720571E-14</c:v>
                </c:pt>
                <c:pt idx="1">
                  <c:v>4.8194291569188716E-12</c:v>
                </c:pt>
                <c:pt idx="2">
                  <c:v>4.4159031589014915E-10</c:v>
                </c:pt>
                <c:pt idx="3">
                  <c:v>2.7640945090806629E-8</c:v>
                </c:pt>
                <c:pt idx="4">
                  <c:v>1.1826788924520244E-6</c:v>
                </c:pt>
                <c:pt idx="5">
                  <c:v>3.4614138765064175E-5</c:v>
                </c:pt>
                <c:pt idx="6">
                  <c:v>6.9346120014184671E-4</c:v>
                </c:pt>
                <c:pt idx="7">
                  <c:v>9.5168462954512926E-3</c:v>
                </c:pt>
                <c:pt idx="8">
                  <c:v>8.9534224688382444E-2</c:v>
                </c:pt>
                <c:pt idx="9">
                  <c:v>0.57786284644030661</c:v>
                </c:pt>
                <c:pt idx="10">
                  <c:v>2.5603148371382045</c:v>
                </c:pt>
                <c:pt idx="11">
                  <c:v>7.7920660531933983</c:v>
                </c:pt>
                <c:pt idx="12">
                  <c:v>16.297111881103067</c:v>
                </c:pt>
                <c:pt idx="13">
                  <c:v>23.43221531871108</c:v>
                </c:pt>
                <c:pt idx="14">
                  <c:v>23.165143923514474</c:v>
                </c:pt>
                <c:pt idx="15">
                  <c:v>15.746108402408499</c:v>
                </c:pt>
                <c:pt idx="16">
                  <c:v>7.3578207435492597</c:v>
                </c:pt>
                <c:pt idx="17">
                  <c:v>2.3627233410302706</c:v>
                </c:pt>
                <c:pt idx="18">
                  <c:v>0.52113795279853381</c:v>
                </c:pt>
                <c:pt idx="19">
                  <c:v>7.8905697504716432E-2</c:v>
                </c:pt>
                <c:pt idx="20">
                  <c:v>8.1956785645709296E-3</c:v>
                </c:pt>
                <c:pt idx="21">
                  <c:v>5.8353506591224402E-4</c:v>
                </c:pt>
                <c:pt idx="22">
                  <c:v>2.8459775813782784E-5</c:v>
                </c:pt>
                <c:pt idx="23">
                  <c:v>9.5007660627643986E-7</c:v>
                </c:pt>
                <c:pt idx="24">
                  <c:v>2.1694024354701469E-8</c:v>
                </c:pt>
                <c:pt idx="25">
                  <c:v>3.3859581805018024E-10</c:v>
                </c:pt>
                <c:pt idx="26">
                  <c:v>3.6193270602780103E-12</c:v>
                </c:pt>
                <c:pt idx="27">
                  <c:v>2.2204460492503131E-14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11744"/>
        <c:axId val="103247872"/>
      </c:lineChart>
      <c:catAx>
        <c:axId val="12451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Inhibition zone diameter, mm</a:t>
                </a:r>
              </a:p>
            </c:rich>
          </c:tx>
          <c:layout>
            <c:manualLayout>
              <c:xMode val="edge"/>
              <c:yMode val="edge"/>
              <c:x val="0.42605997931747674"/>
              <c:y val="0.94237288135593222"/>
            </c:manualLayout>
          </c:layout>
          <c:overlay val="0"/>
          <c:spPr>
            <a:noFill/>
            <a:ln w="25400">
              <a:noFill/>
            </a:ln>
          </c:spPr>
        </c:title>
        <c:numFmt formatCode="Standard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0324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247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Per cent isolates</a:t>
                </a:r>
              </a:p>
            </c:rich>
          </c:tx>
          <c:layout>
            <c:manualLayout>
              <c:xMode val="edge"/>
              <c:yMode val="edge"/>
              <c:x val="1.0341261633919338E-2"/>
              <c:y val="0.4152542372881356"/>
            </c:manualLayout>
          </c:layout>
          <c:overlay val="0"/>
          <c:spPr>
            <a:noFill/>
            <a:ln w="25400">
              <a:noFill/>
            </a:ln>
          </c:spPr>
        </c:title>
        <c:numFmt formatCode="0,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245117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85800" y="200025"/>
    <xdr:ext cx="9219151" cy="562761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RI%20protoco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 NRI"/>
      <sheetName val="Plot zone"/>
      <sheetName val="Disc Ecoli"/>
      <sheetName val="Plot Ecoli"/>
      <sheetName val="Disc Ecoli (2)"/>
      <sheetName val="Plot Ecoli (2)"/>
      <sheetName val="MIC NRI"/>
    </sheetNames>
    <sheetDataSet>
      <sheetData sheetId="0"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abSelected="1" zoomScaleNormal="100" workbookViewId="0">
      <selection activeCell="J21" sqref="J21"/>
    </sheetView>
  </sheetViews>
  <sheetFormatPr defaultColWidth="11" defaultRowHeight="15.75" x14ac:dyDescent="0.25"/>
  <cols>
    <col min="1" max="1" width="10.125" customWidth="1"/>
    <col min="3" max="7" width="11" style="2"/>
    <col min="8" max="8" width="4.75" style="2" customWidth="1"/>
    <col min="9" max="9" width="11" style="19"/>
    <col min="10" max="10" width="11.625" bestFit="1" customWidth="1"/>
    <col min="11" max="13" width="10.875" customWidth="1"/>
    <col min="18" max="18" width="11.875" bestFit="1" customWidth="1"/>
  </cols>
  <sheetData>
    <row r="1" spans="1:17" ht="18.75" x14ac:dyDescent="0.3">
      <c r="A1" s="1" t="s">
        <v>24</v>
      </c>
      <c r="I1"/>
    </row>
    <row r="2" spans="1:17" x14ac:dyDescent="0.25">
      <c r="A2" s="3" t="s">
        <v>0</v>
      </c>
      <c r="B2" s="4" t="s">
        <v>1</v>
      </c>
      <c r="C2" s="4"/>
      <c r="E2" s="5" t="s">
        <v>2</v>
      </c>
      <c r="F2" s="6" t="s">
        <v>18</v>
      </c>
      <c r="I2"/>
    </row>
    <row r="3" spans="1:17" x14ac:dyDescent="0.25">
      <c r="Q3" s="5"/>
    </row>
    <row r="4" spans="1:17" x14ac:dyDescent="0.25">
      <c r="A4" s="28" t="s">
        <v>4</v>
      </c>
      <c r="B4" s="28" t="s">
        <v>5</v>
      </c>
      <c r="C4" s="28" t="s">
        <v>7</v>
      </c>
      <c r="D4" s="28" t="s">
        <v>26</v>
      </c>
      <c r="E4" s="28" t="s">
        <v>27</v>
      </c>
      <c r="F4" s="34" t="s">
        <v>20</v>
      </c>
      <c r="G4" s="35" t="s">
        <v>8</v>
      </c>
      <c r="H4" s="11"/>
      <c r="I4" s="11"/>
      <c r="K4" s="27" t="s">
        <v>25</v>
      </c>
      <c r="L4" s="21"/>
      <c r="M4" s="3" t="s">
        <v>20</v>
      </c>
      <c r="N4" s="28" t="s">
        <v>6</v>
      </c>
    </row>
    <row r="5" spans="1:17" x14ac:dyDescent="0.25">
      <c r="G5"/>
      <c r="H5" s="11"/>
      <c r="I5" s="11"/>
    </row>
    <row r="6" spans="1:17" x14ac:dyDescent="0.25">
      <c r="A6" s="2">
        <v>6</v>
      </c>
      <c r="B6" s="36">
        <v>156</v>
      </c>
      <c r="C6" s="2">
        <f t="shared" ref="C6:C56" si="0">SUM(B6:B9)/4</f>
        <v>52.25</v>
      </c>
      <c r="D6" s="8">
        <f>((B6/B$61)*100)</f>
        <v>5.9113300492610836</v>
      </c>
      <c r="E6" s="9">
        <f>SUM(B6:B$60)</f>
        <v>2639</v>
      </c>
      <c r="F6" s="19">
        <f t="shared" ref="F6:F37" si="1">(B$62-E6)/B$62</f>
        <v>-0.10050041701417849</v>
      </c>
      <c r="G6"/>
      <c r="H6"/>
      <c r="I6"/>
      <c r="K6" s="13">
        <f>($J$10*A6)+$J$11</f>
        <v>-3.6887422789282889</v>
      </c>
      <c r="L6" s="13">
        <f t="shared" ref="L6:L56" si="2">K6-5</f>
        <v>-8.688742278928288</v>
      </c>
      <c r="M6" s="13">
        <f t="shared" ref="M6:M56" si="3">NORMSDIST(L6)</f>
        <v>1.8323698191174096E-18</v>
      </c>
      <c r="N6" s="22">
        <f>(M7-M6)*100</f>
        <v>3.5911432324720571E-14</v>
      </c>
      <c r="O6" s="22"/>
    </row>
    <row r="7" spans="1:17" x14ac:dyDescent="0.25">
      <c r="A7" s="2">
        <v>7</v>
      </c>
      <c r="B7" s="36">
        <v>9</v>
      </c>
      <c r="C7" s="9">
        <f t="shared" si="0"/>
        <v>16.75</v>
      </c>
      <c r="D7" s="8">
        <f t="shared" ref="D7:D60" si="4">((B7/B$61)*100)</f>
        <v>0.34103827207275483</v>
      </c>
      <c r="E7" s="9">
        <f>SUM(B7:B$60)</f>
        <v>2483</v>
      </c>
      <c r="F7" s="19">
        <f t="shared" si="1"/>
        <v>-3.5446205170975811E-2</v>
      </c>
      <c r="G7"/>
      <c r="H7"/>
      <c r="I7"/>
      <c r="K7" s="13">
        <f t="shared" ref="K7:K56" si="5">($J$10*A7)+$J$11</f>
        <v>-3.0667581687396863</v>
      </c>
      <c r="L7" s="13">
        <f t="shared" si="2"/>
        <v>-8.0667581687396854</v>
      </c>
      <c r="M7" s="13">
        <f t="shared" si="3"/>
        <v>3.6094669306632308E-16</v>
      </c>
      <c r="N7" s="22">
        <f>(M8-M7)*100</f>
        <v>4.8194291569188716E-12</v>
      </c>
      <c r="O7" s="22"/>
    </row>
    <row r="8" spans="1:17" x14ac:dyDescent="0.25">
      <c r="A8" s="2">
        <v>8</v>
      </c>
      <c r="B8" s="36">
        <v>33</v>
      </c>
      <c r="C8" s="9">
        <f t="shared" si="0"/>
        <v>18.75</v>
      </c>
      <c r="D8" s="8">
        <f t="shared" si="4"/>
        <v>1.2504736642667678</v>
      </c>
      <c r="E8" s="9">
        <f>SUM(B8:B$60)</f>
        <v>2474</v>
      </c>
      <c r="F8" s="19">
        <f t="shared" si="1"/>
        <v>-3.1693077564637198E-2</v>
      </c>
      <c r="G8"/>
      <c r="H8"/>
      <c r="I8"/>
      <c r="K8" s="13">
        <f t="shared" si="5"/>
        <v>-2.4447740585510838</v>
      </c>
      <c r="L8" s="13">
        <f t="shared" si="2"/>
        <v>-7.4447740585510838</v>
      </c>
      <c r="M8" s="13">
        <f t="shared" si="3"/>
        <v>4.8555238262255043E-14</v>
      </c>
      <c r="N8" s="22">
        <f t="shared" ref="N8:N55" si="6">(M9-M8)*100</f>
        <v>4.4159031589014915E-10</v>
      </c>
      <c r="O8" s="22"/>
    </row>
    <row r="9" spans="1:17" x14ac:dyDescent="0.25">
      <c r="A9" s="2">
        <v>9</v>
      </c>
      <c r="B9" s="36">
        <v>11</v>
      </c>
      <c r="C9" s="9">
        <f t="shared" si="0"/>
        <v>11.5</v>
      </c>
      <c r="D9" s="8">
        <f t="shared" si="4"/>
        <v>0.41682455475558922</v>
      </c>
      <c r="E9" s="9">
        <f>SUM(B9:B$60)</f>
        <v>2441</v>
      </c>
      <c r="F9" s="19">
        <f t="shared" si="1"/>
        <v>-1.7931609674728941E-2</v>
      </c>
      <c r="G9" s="22"/>
      <c r="H9"/>
      <c r="I9"/>
      <c r="K9" s="13">
        <f t="shared" si="5"/>
        <v>-1.8227899483624812</v>
      </c>
      <c r="L9" s="13">
        <f t="shared" si="2"/>
        <v>-6.8227899483624812</v>
      </c>
      <c r="M9" s="13">
        <f t="shared" si="3"/>
        <v>4.4644583971637463E-12</v>
      </c>
      <c r="N9" s="22">
        <f t="shared" si="6"/>
        <v>2.7640945090806629E-8</v>
      </c>
      <c r="O9" s="22"/>
    </row>
    <row r="10" spans="1:17" x14ac:dyDescent="0.25">
      <c r="A10" s="2">
        <v>10</v>
      </c>
      <c r="B10" s="36">
        <v>14</v>
      </c>
      <c r="C10" s="9">
        <f t="shared" si="0"/>
        <v>10</v>
      </c>
      <c r="D10" s="8">
        <f t="shared" si="4"/>
        <v>0.53050397877984079</v>
      </c>
      <c r="E10" s="9">
        <f>SUM(B10:B$60)</f>
        <v>2430</v>
      </c>
      <c r="F10" s="19">
        <f t="shared" si="1"/>
        <v>-1.3344453711426188E-2</v>
      </c>
      <c r="G10" s="22"/>
      <c r="H10"/>
      <c r="I10" s="24" t="s">
        <v>21</v>
      </c>
      <c r="J10" s="24">
        <f>SLOPE(G20:G22,A20:A22)</f>
        <v>0.62198411018860256</v>
      </c>
      <c r="K10" s="13">
        <f t="shared" si="5"/>
        <v>-1.2008058381738786</v>
      </c>
      <c r="L10" s="13">
        <f t="shared" si="2"/>
        <v>-6.2008058381738786</v>
      </c>
      <c r="M10" s="13">
        <f t="shared" si="3"/>
        <v>2.8087390930523004E-10</v>
      </c>
      <c r="N10" s="22">
        <f t="shared" si="6"/>
        <v>1.1826788924520244E-6</v>
      </c>
      <c r="O10" s="22"/>
    </row>
    <row r="11" spans="1:17" x14ac:dyDescent="0.25">
      <c r="A11" s="2">
        <v>11</v>
      </c>
      <c r="B11" s="36">
        <v>17</v>
      </c>
      <c r="C11" s="9">
        <f t="shared" si="0"/>
        <v>7</v>
      </c>
      <c r="D11" s="8">
        <f t="shared" si="4"/>
        <v>0.64418340280409248</v>
      </c>
      <c r="E11" s="9">
        <f>SUM(B11:B$60)</f>
        <v>2416</v>
      </c>
      <c r="F11" s="19">
        <f t="shared" si="1"/>
        <v>-7.5062552126772307E-3</v>
      </c>
      <c r="G11"/>
      <c r="H11"/>
      <c r="I11" s="24" t="s">
        <v>22</v>
      </c>
      <c r="J11" s="24">
        <f>INTERCEPT(G20:G22,A20:A22)</f>
        <v>-7.4206469400599042</v>
      </c>
      <c r="K11" s="13">
        <f t="shared" si="5"/>
        <v>-0.57882172798527609</v>
      </c>
      <c r="L11" s="13">
        <f t="shared" si="2"/>
        <v>-5.5788217279852761</v>
      </c>
      <c r="M11" s="13">
        <f t="shared" si="3"/>
        <v>1.2107662833825473E-8</v>
      </c>
      <c r="N11" s="22">
        <f t="shared" si="6"/>
        <v>3.4614138765064175E-5</v>
      </c>
      <c r="O11" s="22"/>
    </row>
    <row r="12" spans="1:17" x14ac:dyDescent="0.25">
      <c r="A12" s="2">
        <v>12</v>
      </c>
      <c r="B12" s="36">
        <v>4</v>
      </c>
      <c r="C12" s="9">
        <f t="shared" si="0"/>
        <v>3.5</v>
      </c>
      <c r="D12" s="8">
        <f t="shared" si="4"/>
        <v>0.15157256536566882</v>
      </c>
      <c r="E12" s="9">
        <f>SUM(B12:B$60)</f>
        <v>2399</v>
      </c>
      <c r="F12" s="19">
        <f t="shared" si="1"/>
        <v>-4.1701417848206837E-4</v>
      </c>
      <c r="G12"/>
      <c r="H12"/>
      <c r="I12"/>
      <c r="K12" s="13">
        <f t="shared" si="5"/>
        <v>4.3162382203326466E-2</v>
      </c>
      <c r="L12" s="13">
        <f t="shared" si="2"/>
        <v>-4.9568376177966735</v>
      </c>
      <c r="M12" s="13">
        <f t="shared" si="3"/>
        <v>3.5824905048446723E-7</v>
      </c>
      <c r="N12" s="22">
        <f t="shared" si="6"/>
        <v>6.9346120014184671E-4</v>
      </c>
      <c r="O12" s="22"/>
    </row>
    <row r="13" spans="1:17" x14ac:dyDescent="0.25">
      <c r="A13" s="2">
        <v>13</v>
      </c>
      <c r="B13" s="36">
        <v>5</v>
      </c>
      <c r="C13" s="9">
        <f t="shared" si="0"/>
        <v>4</v>
      </c>
      <c r="D13" s="8">
        <f t="shared" si="4"/>
        <v>0.18946570670708601</v>
      </c>
      <c r="E13" s="9">
        <f>SUM(B13:B$60)</f>
        <v>2395</v>
      </c>
      <c r="F13" s="19">
        <f t="shared" si="1"/>
        <v>1.2510425354462051E-3</v>
      </c>
      <c r="G13"/>
      <c r="H13" s="37"/>
      <c r="I13" s="22"/>
      <c r="J13" s="22"/>
      <c r="K13" s="13">
        <f t="shared" si="5"/>
        <v>0.66514649239192902</v>
      </c>
      <c r="L13" s="13">
        <f t="shared" si="2"/>
        <v>-4.334853507608071</v>
      </c>
      <c r="M13" s="13">
        <f t="shared" si="3"/>
        <v>7.2928610519029349E-6</v>
      </c>
      <c r="N13" s="22">
        <f t="shared" si="6"/>
        <v>9.5168462954512926E-3</v>
      </c>
      <c r="O13" s="22"/>
    </row>
    <row r="14" spans="1:17" x14ac:dyDescent="0.25">
      <c r="A14" s="2">
        <v>14</v>
      </c>
      <c r="B14" s="36">
        <v>2</v>
      </c>
      <c r="C14" s="9">
        <f t="shared" si="0"/>
        <v>38.25</v>
      </c>
      <c r="D14" s="8">
        <f t="shared" si="4"/>
        <v>7.578628268283441E-2</v>
      </c>
      <c r="E14" s="9">
        <f>SUM(B14:B$60)</f>
        <v>2390</v>
      </c>
      <c r="F14" s="19">
        <f t="shared" si="1"/>
        <v>3.336113427856547E-3</v>
      </c>
      <c r="G14"/>
      <c r="H14" s="37"/>
      <c r="I14" s="22"/>
      <c r="J14" s="22"/>
      <c r="K14" s="13">
        <f t="shared" si="5"/>
        <v>1.2871306025805316</v>
      </c>
      <c r="L14" s="13">
        <f t="shared" si="2"/>
        <v>-3.7128693974194684</v>
      </c>
      <c r="M14" s="13">
        <f t="shared" si="3"/>
        <v>1.0246132400641586E-4</v>
      </c>
      <c r="N14" s="22">
        <f t="shared" si="6"/>
        <v>8.9534224688382444E-2</v>
      </c>
      <c r="O14" s="22"/>
    </row>
    <row r="15" spans="1:17" x14ac:dyDescent="0.25">
      <c r="A15" s="14">
        <v>15</v>
      </c>
      <c r="B15" s="36">
        <v>3</v>
      </c>
      <c r="C15" s="12">
        <f t="shared" si="0"/>
        <v>135.5</v>
      </c>
      <c r="D15" s="8">
        <f t="shared" si="4"/>
        <v>0.11367942402425162</v>
      </c>
      <c r="E15" s="12">
        <f>SUM(B15:B$60)</f>
        <v>2388</v>
      </c>
      <c r="F15" s="19">
        <f t="shared" si="1"/>
        <v>4.1701417848206837E-3</v>
      </c>
      <c r="I15" s="7" t="s">
        <v>3</v>
      </c>
      <c r="J15" s="7">
        <f>INT(J$21)</f>
        <v>15</v>
      </c>
      <c r="K15" s="13">
        <f t="shared" si="5"/>
        <v>1.9091147127691341</v>
      </c>
      <c r="L15" s="13">
        <f t="shared" si="2"/>
        <v>-3.0908852872308659</v>
      </c>
      <c r="M15" s="13">
        <f t="shared" si="3"/>
        <v>9.9780357089024026E-4</v>
      </c>
      <c r="N15" s="22">
        <f t="shared" si="6"/>
        <v>0.57786284644030661</v>
      </c>
      <c r="O15" s="22"/>
    </row>
    <row r="16" spans="1:17" x14ac:dyDescent="0.25">
      <c r="A16" s="14">
        <v>16</v>
      </c>
      <c r="B16" s="36">
        <v>6</v>
      </c>
      <c r="C16" s="12">
        <f t="shared" si="0"/>
        <v>296.5</v>
      </c>
      <c r="D16" s="8">
        <f t="shared" si="4"/>
        <v>0.22735884804850323</v>
      </c>
      <c r="E16" s="12">
        <f>SUM(B16:B$60)</f>
        <v>2385</v>
      </c>
      <c r="F16" s="19">
        <f t="shared" si="1"/>
        <v>5.4211843202668893E-3</v>
      </c>
      <c r="H16"/>
      <c r="I16" s="7" t="s">
        <v>9</v>
      </c>
      <c r="J16" s="7">
        <f>INT(J$21)</f>
        <v>15</v>
      </c>
      <c r="K16" s="13">
        <f t="shared" si="5"/>
        <v>2.5310988229577367</v>
      </c>
      <c r="L16" s="13">
        <f t="shared" si="2"/>
        <v>-2.4689011770422633</v>
      </c>
      <c r="M16" s="13">
        <f t="shared" si="3"/>
        <v>6.7764320352933054E-3</v>
      </c>
      <c r="N16" s="22">
        <f t="shared" si="6"/>
        <v>2.5603148371382045</v>
      </c>
      <c r="O16" s="22"/>
    </row>
    <row r="17" spans="1:15" x14ac:dyDescent="0.25">
      <c r="A17" s="14">
        <v>17</v>
      </c>
      <c r="B17" s="36">
        <v>142</v>
      </c>
      <c r="C17" s="29">
        <f t="shared" si="0"/>
        <v>445.75</v>
      </c>
      <c r="D17" s="8">
        <f t="shared" si="4"/>
        <v>5.380826070481243</v>
      </c>
      <c r="E17" s="12">
        <f>SUM(B17:B$60)</f>
        <v>2379</v>
      </c>
      <c r="F17" s="19">
        <f t="shared" si="1"/>
        <v>7.9232693911592995E-3</v>
      </c>
      <c r="G17" s="11"/>
      <c r="H17"/>
      <c r="I17" s="22"/>
      <c r="J17" s="22"/>
      <c r="K17" s="13">
        <f t="shared" si="5"/>
        <v>3.1530829331463393</v>
      </c>
      <c r="L17" s="13">
        <f t="shared" si="2"/>
        <v>-1.8469170668536607</v>
      </c>
      <c r="M17" s="13">
        <f t="shared" si="3"/>
        <v>3.2379580406675351E-2</v>
      </c>
      <c r="N17" s="22">
        <f t="shared" si="6"/>
        <v>7.7920660531933983</v>
      </c>
      <c r="O17" s="22"/>
    </row>
    <row r="18" spans="1:15" x14ac:dyDescent="0.25">
      <c r="A18" s="14">
        <v>18</v>
      </c>
      <c r="B18" s="36">
        <v>391</v>
      </c>
      <c r="C18" s="30">
        <f t="shared" si="0"/>
        <v>495.25</v>
      </c>
      <c r="D18" s="8">
        <f t="shared" si="4"/>
        <v>14.816218264494127</v>
      </c>
      <c r="E18" s="12">
        <f>SUM(B18:B$60)</f>
        <v>2237</v>
      </c>
      <c r="F18" s="19">
        <f t="shared" si="1"/>
        <v>6.713928273561301E-2</v>
      </c>
      <c r="G18" s="11"/>
      <c r="H18"/>
      <c r="I18" s="10"/>
      <c r="J18" s="10" t="s">
        <v>10</v>
      </c>
      <c r="K18" s="13">
        <f t="shared" si="5"/>
        <v>3.7750670433349418</v>
      </c>
      <c r="L18" s="13">
        <f t="shared" si="2"/>
        <v>-1.2249329566650582</v>
      </c>
      <c r="M18" s="13">
        <f t="shared" si="3"/>
        <v>0.11030024093860934</v>
      </c>
      <c r="N18" s="22">
        <f t="shared" si="6"/>
        <v>16.297111881103067</v>
      </c>
      <c r="O18" s="22"/>
    </row>
    <row r="19" spans="1:15" x14ac:dyDescent="0.25">
      <c r="A19" s="14">
        <v>19</v>
      </c>
      <c r="B19" s="36">
        <v>647</v>
      </c>
      <c r="C19" s="12">
        <f t="shared" si="0"/>
        <v>433.75</v>
      </c>
      <c r="D19" s="8">
        <f t="shared" si="4"/>
        <v>24.51686244789693</v>
      </c>
      <c r="E19" s="12">
        <f>SUM(B19:B$60)</f>
        <v>1846</v>
      </c>
      <c r="F19" s="25">
        <f t="shared" si="1"/>
        <v>0.23019182652210174</v>
      </c>
      <c r="G19" s="14"/>
      <c r="H19"/>
      <c r="I19" s="10" t="s">
        <v>11</v>
      </c>
      <c r="J19" s="10">
        <f>(5-J11)/J10</f>
        <v>19.969395900312669</v>
      </c>
      <c r="K19" s="13">
        <f t="shared" si="5"/>
        <v>4.3970511535235444</v>
      </c>
      <c r="L19" s="13">
        <f t="shared" si="2"/>
        <v>-0.60294884647645564</v>
      </c>
      <c r="M19" s="13">
        <f t="shared" si="3"/>
        <v>0.27327135974964001</v>
      </c>
      <c r="N19" s="22">
        <f t="shared" si="6"/>
        <v>23.43221531871108</v>
      </c>
      <c r="O19" s="22"/>
    </row>
    <row r="20" spans="1:15" x14ac:dyDescent="0.25">
      <c r="A20" s="14">
        <v>20</v>
      </c>
      <c r="B20" s="31">
        <v>603</v>
      </c>
      <c r="C20" s="12">
        <f t="shared" si="0"/>
        <v>286.75</v>
      </c>
      <c r="D20" s="8">
        <f t="shared" si="4"/>
        <v>22.849564228874574</v>
      </c>
      <c r="E20" s="12">
        <f>SUM(B20:B$60)</f>
        <v>1199</v>
      </c>
      <c r="F20" s="23">
        <f t="shared" si="1"/>
        <v>0.5</v>
      </c>
      <c r="G20" s="14">
        <f>_xlfn.NORM.INV(F20,5,1)</f>
        <v>5</v>
      </c>
      <c r="H20"/>
      <c r="I20" s="10"/>
      <c r="J20" s="10"/>
      <c r="K20" s="13">
        <f t="shared" si="5"/>
        <v>5.0190352637121469</v>
      </c>
      <c r="L20" s="13">
        <f t="shared" si="2"/>
        <v>1.9035263712146921E-2</v>
      </c>
      <c r="M20" s="13">
        <f t="shared" si="3"/>
        <v>0.50759351293675081</v>
      </c>
      <c r="N20" s="22">
        <f t="shared" si="6"/>
        <v>23.165143923514474</v>
      </c>
      <c r="O20" s="22"/>
    </row>
    <row r="21" spans="1:15" x14ac:dyDescent="0.25">
      <c r="A21" s="14">
        <v>21</v>
      </c>
      <c r="B21" s="31">
        <v>340</v>
      </c>
      <c r="C21" s="16">
        <f t="shared" si="0"/>
        <v>139.5</v>
      </c>
      <c r="D21" s="8">
        <f t="shared" si="4"/>
        <v>12.883668056081849</v>
      </c>
      <c r="E21" s="12">
        <f>SUM(B21:B$60)</f>
        <v>596</v>
      </c>
      <c r="F21" s="23">
        <f t="shared" si="1"/>
        <v>0.7514595496246872</v>
      </c>
      <c r="G21" s="14">
        <f>_xlfn.NORM.INV(F21,5,1)</f>
        <v>5.6790899013250407</v>
      </c>
      <c r="H21"/>
      <c r="I21" s="10" t="s">
        <v>23</v>
      </c>
      <c r="J21" s="10">
        <f>(2.5-J11)/J10</f>
        <v>15.950000615050588</v>
      </c>
      <c r="K21" s="13">
        <f t="shared" si="5"/>
        <v>5.6410193739007495</v>
      </c>
      <c r="L21" s="13">
        <f t="shared" si="2"/>
        <v>0.64101937390074948</v>
      </c>
      <c r="M21" s="13">
        <f t="shared" si="3"/>
        <v>0.73924495217189556</v>
      </c>
      <c r="N21" s="22">
        <f t="shared" si="6"/>
        <v>15.746108402408499</v>
      </c>
      <c r="O21" s="22"/>
    </row>
    <row r="22" spans="1:15" x14ac:dyDescent="0.25">
      <c r="A22" s="14">
        <v>22</v>
      </c>
      <c r="B22" s="31">
        <v>145</v>
      </c>
      <c r="C22" s="12">
        <f t="shared" si="0"/>
        <v>59</v>
      </c>
      <c r="D22" s="8">
        <f t="shared" si="4"/>
        <v>5.4945054945054945</v>
      </c>
      <c r="E22" s="12">
        <f>SUM(B22:B$60)</f>
        <v>256</v>
      </c>
      <c r="F22" s="23">
        <f t="shared" si="1"/>
        <v>0.8932443703085905</v>
      </c>
      <c r="G22" s="14">
        <f>_xlfn.NORM.INV(F22,5,1)</f>
        <v>6.2439682203772051</v>
      </c>
      <c r="H22"/>
      <c r="I22" s="10"/>
      <c r="J22" s="10"/>
      <c r="K22" s="13">
        <f t="shared" si="5"/>
        <v>6.263003484089352</v>
      </c>
      <c r="L22" s="13">
        <f t="shared" si="2"/>
        <v>1.263003484089352</v>
      </c>
      <c r="M22" s="13">
        <f t="shared" si="3"/>
        <v>0.89670603619598055</v>
      </c>
      <c r="N22" s="22">
        <f t="shared" si="6"/>
        <v>7.3578207435492597</v>
      </c>
      <c r="O22" s="22"/>
    </row>
    <row r="23" spans="1:15" x14ac:dyDescent="0.25">
      <c r="A23" s="14">
        <v>23</v>
      </c>
      <c r="B23" s="31">
        <v>59</v>
      </c>
      <c r="C23" s="12">
        <f t="shared" si="0"/>
        <v>24.5</v>
      </c>
      <c r="D23" s="8">
        <f t="shared" si="4"/>
        <v>2.2356953391436152</v>
      </c>
      <c r="E23" s="12">
        <f>SUM(B23:B$60)</f>
        <v>111</v>
      </c>
      <c r="F23" s="25">
        <f t="shared" si="1"/>
        <v>0.95371142618849036</v>
      </c>
      <c r="G23" s="22"/>
      <c r="H23"/>
      <c r="I23" s="10" t="s">
        <v>12</v>
      </c>
      <c r="J23" s="10">
        <f>(J19-J21)/2.5</f>
        <v>1.6077581141048327</v>
      </c>
      <c r="K23" s="13">
        <f t="shared" si="5"/>
        <v>6.8849875942779546</v>
      </c>
      <c r="L23" s="13">
        <f t="shared" si="2"/>
        <v>1.8849875942779546</v>
      </c>
      <c r="M23" s="13">
        <f t="shared" si="3"/>
        <v>0.97028424363147314</v>
      </c>
      <c r="N23" s="22">
        <f t="shared" si="6"/>
        <v>2.3627233410302706</v>
      </c>
      <c r="O23" s="22"/>
    </row>
    <row r="24" spans="1:15" x14ac:dyDescent="0.25">
      <c r="A24" s="14">
        <v>24</v>
      </c>
      <c r="B24" s="31">
        <v>14</v>
      </c>
      <c r="C24" s="12">
        <f t="shared" si="0"/>
        <v>10.75</v>
      </c>
      <c r="D24" s="8">
        <f t="shared" si="4"/>
        <v>0.53050397877984079</v>
      </c>
      <c r="E24" s="12">
        <f>SUM(B24:B$60)</f>
        <v>52</v>
      </c>
      <c r="F24" s="19">
        <f t="shared" si="1"/>
        <v>0.97831526271893243</v>
      </c>
      <c r="G24" s="11"/>
      <c r="H24"/>
      <c r="I24" s="22"/>
      <c r="J24" s="22"/>
      <c r="K24" s="13">
        <f t="shared" si="5"/>
        <v>7.5069717044665571</v>
      </c>
      <c r="L24" s="13">
        <f t="shared" si="2"/>
        <v>2.5069717044665571</v>
      </c>
      <c r="M24" s="13">
        <f t="shared" si="3"/>
        <v>0.99391147704177585</v>
      </c>
      <c r="N24" s="22">
        <f t="shared" si="6"/>
        <v>0.52113795279853381</v>
      </c>
      <c r="O24" s="22"/>
    </row>
    <row r="25" spans="1:15" x14ac:dyDescent="0.25">
      <c r="A25" s="14">
        <v>25</v>
      </c>
      <c r="B25" s="31">
        <v>18</v>
      </c>
      <c r="C25" s="12">
        <f t="shared" si="0"/>
        <v>8.25</v>
      </c>
      <c r="D25" s="8">
        <f t="shared" si="4"/>
        <v>0.68207654414550967</v>
      </c>
      <c r="E25" s="12">
        <f>SUM(B25:B$60)</f>
        <v>38</v>
      </c>
      <c r="F25" s="19">
        <f t="shared" si="1"/>
        <v>0.98415346121768144</v>
      </c>
      <c r="G25" s="11"/>
      <c r="H25"/>
      <c r="I25" s="22"/>
      <c r="J25" s="22"/>
      <c r="K25" s="13">
        <f t="shared" si="5"/>
        <v>8.1289558146551606</v>
      </c>
      <c r="L25" s="13">
        <f t="shared" si="2"/>
        <v>3.1289558146551606</v>
      </c>
      <c r="M25" s="13">
        <f t="shared" si="3"/>
        <v>0.99912285656976119</v>
      </c>
      <c r="N25" s="22">
        <f t="shared" si="6"/>
        <v>7.8905697504716432E-2</v>
      </c>
      <c r="O25" s="22"/>
    </row>
    <row r="26" spans="1:15" x14ac:dyDescent="0.25">
      <c r="A26" s="14">
        <v>26</v>
      </c>
      <c r="B26" s="31">
        <v>7</v>
      </c>
      <c r="C26" s="12">
        <f t="shared" si="0"/>
        <v>4.75</v>
      </c>
      <c r="D26" s="8">
        <f t="shared" si="4"/>
        <v>0.2652519893899204</v>
      </c>
      <c r="E26" s="12">
        <f>SUM(B26:B$60)</f>
        <v>20</v>
      </c>
      <c r="F26" s="19">
        <f t="shared" si="1"/>
        <v>0.99165971643035866</v>
      </c>
      <c r="G26" s="11"/>
      <c r="H26"/>
      <c r="I26"/>
      <c r="K26" s="13">
        <f t="shared" si="5"/>
        <v>8.7509399248437632</v>
      </c>
      <c r="L26" s="13">
        <f t="shared" si="2"/>
        <v>3.7509399248437632</v>
      </c>
      <c r="M26" s="13">
        <f t="shared" si="3"/>
        <v>0.99991191354480835</v>
      </c>
      <c r="N26" s="22">
        <f t="shared" si="6"/>
        <v>8.1956785645709296E-3</v>
      </c>
      <c r="O26" s="22"/>
    </row>
    <row r="27" spans="1:15" x14ac:dyDescent="0.25">
      <c r="A27" s="14">
        <v>27</v>
      </c>
      <c r="B27" s="31">
        <v>4</v>
      </c>
      <c r="C27" s="12">
        <f t="shared" si="0"/>
        <v>3</v>
      </c>
      <c r="D27" s="8">
        <f t="shared" si="4"/>
        <v>0.15157256536566882</v>
      </c>
      <c r="E27" s="12">
        <f>SUM(B27:B$60)</f>
        <v>13</v>
      </c>
      <c r="F27" s="19">
        <f t="shared" si="1"/>
        <v>0.99457881567973316</v>
      </c>
      <c r="G27" s="11"/>
      <c r="H27"/>
      <c r="I27"/>
      <c r="K27" s="13">
        <f t="shared" si="5"/>
        <v>9.3729240350323657</v>
      </c>
      <c r="L27" s="13">
        <f t="shared" si="2"/>
        <v>4.3729240350323657</v>
      </c>
      <c r="M27" s="13">
        <f t="shared" si="3"/>
        <v>0.99999387033045406</v>
      </c>
      <c r="N27" s="22">
        <f t="shared" si="6"/>
        <v>5.8353506591224402E-4</v>
      </c>
      <c r="O27" s="22"/>
    </row>
    <row r="28" spans="1:15" x14ac:dyDescent="0.25">
      <c r="A28" s="14">
        <v>28</v>
      </c>
      <c r="B28" s="31">
        <v>4</v>
      </c>
      <c r="C28" s="12">
        <f t="shared" si="0"/>
        <v>2</v>
      </c>
      <c r="D28" s="8">
        <f t="shared" si="4"/>
        <v>0.15157256536566882</v>
      </c>
      <c r="E28" s="12">
        <f>SUM(B28:B$60)</f>
        <v>9</v>
      </c>
      <c r="F28" s="19">
        <f t="shared" si="1"/>
        <v>0.99624687239366139</v>
      </c>
      <c r="G28" s="11"/>
      <c r="H28"/>
      <c r="I28"/>
      <c r="K28" s="13">
        <f t="shared" si="5"/>
        <v>9.9949081452209683</v>
      </c>
      <c r="L28" s="13">
        <f t="shared" si="2"/>
        <v>4.9949081452209683</v>
      </c>
      <c r="M28" s="13">
        <f t="shared" si="3"/>
        <v>0.99999970568111318</v>
      </c>
      <c r="N28" s="22">
        <f t="shared" si="6"/>
        <v>2.8459775813782784E-5</v>
      </c>
      <c r="O28" s="22"/>
    </row>
    <row r="29" spans="1:15" x14ac:dyDescent="0.25">
      <c r="A29" s="14">
        <v>29</v>
      </c>
      <c r="B29" s="31">
        <v>4</v>
      </c>
      <c r="C29" s="17">
        <f t="shared" si="0"/>
        <v>1</v>
      </c>
      <c r="D29" s="8">
        <f t="shared" si="4"/>
        <v>0.15157256536566882</v>
      </c>
      <c r="E29" s="12">
        <f>SUM(B29:B$60)</f>
        <v>5</v>
      </c>
      <c r="F29" s="19">
        <f t="shared" si="1"/>
        <v>0.99791492910758961</v>
      </c>
      <c r="G29" s="11"/>
      <c r="H29"/>
      <c r="I29"/>
      <c r="K29" s="13">
        <f t="shared" si="5"/>
        <v>10.616892255409571</v>
      </c>
      <c r="L29" s="13">
        <f t="shared" si="2"/>
        <v>5.6168922554095708</v>
      </c>
      <c r="M29" s="13">
        <f t="shared" si="3"/>
        <v>0.99999999027887132</v>
      </c>
      <c r="N29" s="22">
        <f t="shared" si="6"/>
        <v>9.5007660627643986E-7</v>
      </c>
      <c r="O29" s="22"/>
    </row>
    <row r="30" spans="1:15" x14ac:dyDescent="0.25">
      <c r="A30" s="14">
        <v>30</v>
      </c>
      <c r="B30" s="31">
        <v>0</v>
      </c>
      <c r="C30" s="12">
        <f t="shared" si="0"/>
        <v>0</v>
      </c>
      <c r="D30" s="8">
        <f t="shared" si="4"/>
        <v>0</v>
      </c>
      <c r="E30" s="12">
        <f>SUM(B30:B$60)</f>
        <v>1</v>
      </c>
      <c r="F30" s="19">
        <f t="shared" si="1"/>
        <v>0.99958298582151794</v>
      </c>
      <c r="G30" s="11"/>
      <c r="H30"/>
      <c r="I30"/>
      <c r="K30" s="13">
        <f t="shared" si="5"/>
        <v>11.238876365598173</v>
      </c>
      <c r="L30" s="13">
        <f t="shared" si="2"/>
        <v>6.2388763655981734</v>
      </c>
      <c r="M30" s="13">
        <f t="shared" si="3"/>
        <v>0.99999999977963738</v>
      </c>
      <c r="N30" s="22">
        <f t="shared" si="6"/>
        <v>2.1694024354701469E-8</v>
      </c>
      <c r="O30" s="22"/>
    </row>
    <row r="31" spans="1:15" x14ac:dyDescent="0.25">
      <c r="A31" s="14">
        <v>31</v>
      </c>
      <c r="B31" s="31">
        <v>0</v>
      </c>
      <c r="C31" s="12">
        <f t="shared" si="0"/>
        <v>0</v>
      </c>
      <c r="D31" s="8">
        <f t="shared" si="4"/>
        <v>0</v>
      </c>
      <c r="E31" s="12">
        <f>SUM(B31:B$60)</f>
        <v>1</v>
      </c>
      <c r="F31" s="19">
        <f t="shared" si="1"/>
        <v>0.99958298582151794</v>
      </c>
      <c r="G31" s="11"/>
      <c r="H31"/>
      <c r="I31"/>
      <c r="K31" s="13">
        <f t="shared" si="5"/>
        <v>11.860860475786776</v>
      </c>
      <c r="L31" s="13">
        <f t="shared" si="2"/>
        <v>6.8608604757867759</v>
      </c>
      <c r="M31" s="13">
        <f t="shared" si="3"/>
        <v>0.99999999999657763</v>
      </c>
      <c r="N31" s="22">
        <f t="shared" si="6"/>
        <v>3.3859581805018024E-10</v>
      </c>
      <c r="O31" s="22"/>
    </row>
    <row r="32" spans="1:15" x14ac:dyDescent="0.25">
      <c r="A32" s="14">
        <v>32</v>
      </c>
      <c r="B32" s="32">
        <v>0</v>
      </c>
      <c r="C32" s="12">
        <f t="shared" si="0"/>
        <v>0</v>
      </c>
      <c r="D32" s="8">
        <f t="shared" si="4"/>
        <v>0</v>
      </c>
      <c r="E32" s="12">
        <f>SUM(B32:B$60)</f>
        <v>1</v>
      </c>
      <c r="F32" s="19">
        <f t="shared" si="1"/>
        <v>0.99958298582151794</v>
      </c>
      <c r="G32" s="11"/>
      <c r="H32"/>
      <c r="I32"/>
      <c r="K32" s="13">
        <f t="shared" si="5"/>
        <v>12.482844585975378</v>
      </c>
      <c r="L32" s="13">
        <f t="shared" si="2"/>
        <v>7.4828445859753785</v>
      </c>
      <c r="M32" s="13">
        <f t="shared" si="3"/>
        <v>0.99999999999996358</v>
      </c>
      <c r="N32" s="22">
        <f t="shared" si="6"/>
        <v>3.6193270602780103E-12</v>
      </c>
      <c r="O32" s="22"/>
    </row>
    <row r="33" spans="1:15" x14ac:dyDescent="0.25">
      <c r="A33" s="14">
        <v>33</v>
      </c>
      <c r="B33" s="32">
        <v>0</v>
      </c>
      <c r="C33" s="12">
        <f t="shared" si="0"/>
        <v>0</v>
      </c>
      <c r="D33" s="8">
        <f t="shared" si="4"/>
        <v>0</v>
      </c>
      <c r="E33" s="12">
        <f>SUM(B33:B$60)</f>
        <v>1</v>
      </c>
      <c r="F33" s="19">
        <f t="shared" si="1"/>
        <v>0.99958298582151794</v>
      </c>
      <c r="G33" s="11"/>
      <c r="H33"/>
      <c r="I33"/>
      <c r="K33" s="13">
        <f t="shared" si="5"/>
        <v>13.104828696163981</v>
      </c>
      <c r="L33" s="13">
        <f t="shared" si="2"/>
        <v>8.104828696163981</v>
      </c>
      <c r="M33" s="13">
        <f t="shared" si="3"/>
        <v>0.99999999999999978</v>
      </c>
      <c r="N33" s="22">
        <f t="shared" si="6"/>
        <v>2.2204460492503131E-14</v>
      </c>
      <c r="O33" s="22"/>
    </row>
    <row r="34" spans="1:15" x14ac:dyDescent="0.25">
      <c r="A34" s="14">
        <v>34</v>
      </c>
      <c r="B34" s="32">
        <v>0</v>
      </c>
      <c r="C34" s="12">
        <f t="shared" si="0"/>
        <v>0</v>
      </c>
      <c r="D34" s="8">
        <f t="shared" si="4"/>
        <v>0</v>
      </c>
      <c r="E34" s="12">
        <f>SUM(B34:B$60)</f>
        <v>1</v>
      </c>
      <c r="F34" s="19">
        <f t="shared" si="1"/>
        <v>0.99958298582151794</v>
      </c>
      <c r="G34" s="11"/>
      <c r="H34"/>
      <c r="I34"/>
      <c r="K34" s="13">
        <f t="shared" si="5"/>
        <v>13.726812806352584</v>
      </c>
      <c r="L34" s="13">
        <f t="shared" si="2"/>
        <v>8.7268128063525836</v>
      </c>
      <c r="M34" s="13">
        <f t="shared" si="3"/>
        <v>1</v>
      </c>
      <c r="N34" s="22">
        <f t="shared" si="6"/>
        <v>0</v>
      </c>
      <c r="O34" s="22"/>
    </row>
    <row r="35" spans="1:15" x14ac:dyDescent="0.25">
      <c r="A35" s="14">
        <v>35</v>
      </c>
      <c r="B35" s="32">
        <v>0</v>
      </c>
      <c r="C35" s="12">
        <f t="shared" si="0"/>
        <v>0</v>
      </c>
      <c r="D35" s="8">
        <f t="shared" si="4"/>
        <v>0</v>
      </c>
      <c r="E35" s="12">
        <f>SUM(B35:B$60)</f>
        <v>1</v>
      </c>
      <c r="F35" s="19">
        <f t="shared" si="1"/>
        <v>0.99958298582151794</v>
      </c>
      <c r="G35" s="11"/>
      <c r="H35"/>
      <c r="I35"/>
      <c r="K35" s="13">
        <f t="shared" si="5"/>
        <v>14.348796916541186</v>
      </c>
      <c r="L35" s="13">
        <f t="shared" si="2"/>
        <v>9.3487969165411862</v>
      </c>
      <c r="M35" s="13">
        <f t="shared" si="3"/>
        <v>1</v>
      </c>
      <c r="N35" s="22">
        <f t="shared" si="6"/>
        <v>0</v>
      </c>
      <c r="O35" s="22"/>
    </row>
    <row r="36" spans="1:15" x14ac:dyDescent="0.25">
      <c r="A36" s="14">
        <v>36</v>
      </c>
      <c r="B36" s="32">
        <v>0</v>
      </c>
      <c r="C36" s="12">
        <f t="shared" si="0"/>
        <v>0</v>
      </c>
      <c r="D36" s="8">
        <f t="shared" si="4"/>
        <v>0</v>
      </c>
      <c r="E36" s="12">
        <f>SUM(B36:B$60)</f>
        <v>1</v>
      </c>
      <c r="F36" s="19">
        <f t="shared" si="1"/>
        <v>0.99958298582151794</v>
      </c>
      <c r="G36" s="11"/>
      <c r="H36"/>
      <c r="I36"/>
      <c r="K36" s="13">
        <f t="shared" si="5"/>
        <v>14.970781026729789</v>
      </c>
      <c r="L36" s="13">
        <f t="shared" si="2"/>
        <v>9.9707810267297887</v>
      </c>
      <c r="M36" s="13">
        <f t="shared" si="3"/>
        <v>1</v>
      </c>
      <c r="N36" s="22">
        <f t="shared" si="6"/>
        <v>0</v>
      </c>
      <c r="O36" s="22"/>
    </row>
    <row r="37" spans="1:15" x14ac:dyDescent="0.25">
      <c r="A37" s="14">
        <v>37</v>
      </c>
      <c r="B37" s="32">
        <v>0</v>
      </c>
      <c r="C37" s="12">
        <f t="shared" si="0"/>
        <v>0</v>
      </c>
      <c r="D37" s="8">
        <f t="shared" si="4"/>
        <v>0</v>
      </c>
      <c r="E37" s="12">
        <f>SUM(B37:B$60)</f>
        <v>1</v>
      </c>
      <c r="F37" s="19">
        <f t="shared" si="1"/>
        <v>0.99958298582151794</v>
      </c>
      <c r="G37" s="11"/>
      <c r="H37"/>
      <c r="I37"/>
      <c r="K37" s="13">
        <f t="shared" si="5"/>
        <v>15.592765136918391</v>
      </c>
      <c r="L37" s="13">
        <f t="shared" si="2"/>
        <v>10.592765136918391</v>
      </c>
      <c r="M37" s="13">
        <f t="shared" si="3"/>
        <v>1</v>
      </c>
      <c r="N37" s="22">
        <f t="shared" si="6"/>
        <v>0</v>
      </c>
      <c r="O37" s="22"/>
    </row>
    <row r="38" spans="1:15" x14ac:dyDescent="0.25">
      <c r="A38" s="14">
        <v>38</v>
      </c>
      <c r="B38" s="32">
        <v>0</v>
      </c>
      <c r="C38" s="14">
        <f t="shared" si="0"/>
        <v>0</v>
      </c>
      <c r="D38" s="8">
        <f t="shared" si="4"/>
        <v>0</v>
      </c>
      <c r="E38" s="12">
        <f>SUM(B38:B$60)</f>
        <v>1</v>
      </c>
      <c r="F38" s="19">
        <f t="shared" ref="F38:F57" si="7">(B$62-E38)/B$62</f>
        <v>0.99958298582151794</v>
      </c>
      <c r="G38" s="11"/>
      <c r="H38"/>
      <c r="I38"/>
      <c r="K38" s="13">
        <f t="shared" si="5"/>
        <v>16.214749247106994</v>
      </c>
      <c r="L38" s="13">
        <f t="shared" si="2"/>
        <v>11.214749247106994</v>
      </c>
      <c r="M38" s="13">
        <f t="shared" si="3"/>
        <v>1</v>
      </c>
      <c r="N38" s="22">
        <f t="shared" si="6"/>
        <v>0</v>
      </c>
      <c r="O38" s="22"/>
    </row>
    <row r="39" spans="1:15" x14ac:dyDescent="0.25">
      <c r="A39" s="14">
        <v>39</v>
      </c>
      <c r="B39" s="32">
        <v>0</v>
      </c>
      <c r="C39" s="14">
        <f t="shared" si="0"/>
        <v>0</v>
      </c>
      <c r="D39" s="8">
        <f t="shared" si="4"/>
        <v>0</v>
      </c>
      <c r="E39" s="12">
        <f>SUM(B39:B$60)</f>
        <v>1</v>
      </c>
      <c r="F39" s="19">
        <f t="shared" si="7"/>
        <v>0.99958298582151794</v>
      </c>
      <c r="G39"/>
      <c r="H39"/>
      <c r="I39"/>
      <c r="K39" s="13">
        <f t="shared" si="5"/>
        <v>16.836733357295596</v>
      </c>
      <c r="L39" s="13">
        <f t="shared" si="2"/>
        <v>11.836733357295596</v>
      </c>
      <c r="M39" s="13">
        <f t="shared" si="3"/>
        <v>1</v>
      </c>
      <c r="N39" s="22">
        <f t="shared" si="6"/>
        <v>0</v>
      </c>
      <c r="O39" s="22"/>
    </row>
    <row r="40" spans="1:15" x14ac:dyDescent="0.25">
      <c r="A40" s="2">
        <v>40</v>
      </c>
      <c r="B40" s="32">
        <v>0</v>
      </c>
      <c r="C40" s="2">
        <f t="shared" si="0"/>
        <v>0</v>
      </c>
      <c r="D40" s="8">
        <f t="shared" si="4"/>
        <v>0</v>
      </c>
      <c r="E40" s="9">
        <f>SUM(B40:B$60)</f>
        <v>1</v>
      </c>
      <c r="F40" s="19">
        <f t="shared" si="7"/>
        <v>0.99958298582151794</v>
      </c>
      <c r="G40"/>
      <c r="H40"/>
      <c r="I40"/>
      <c r="K40" s="13">
        <f t="shared" si="5"/>
        <v>17.458717467484199</v>
      </c>
      <c r="L40" s="13">
        <f t="shared" si="2"/>
        <v>12.458717467484199</v>
      </c>
      <c r="M40" s="13">
        <f t="shared" si="3"/>
        <v>1</v>
      </c>
      <c r="N40" s="22">
        <f t="shared" si="6"/>
        <v>0</v>
      </c>
      <c r="O40" s="22"/>
    </row>
    <row r="41" spans="1:15" x14ac:dyDescent="0.25">
      <c r="A41" s="2">
        <v>41</v>
      </c>
      <c r="B41" s="32">
        <v>0</v>
      </c>
      <c r="C41" s="2">
        <f t="shared" si="0"/>
        <v>0</v>
      </c>
      <c r="D41" s="8">
        <f t="shared" si="4"/>
        <v>0</v>
      </c>
      <c r="E41" s="9">
        <f>SUM(B41:B$60)</f>
        <v>1</v>
      </c>
      <c r="F41" s="19">
        <f t="shared" si="7"/>
        <v>0.99958298582151794</v>
      </c>
      <c r="G41"/>
      <c r="H41"/>
      <c r="I41"/>
      <c r="K41" s="13">
        <f t="shared" si="5"/>
        <v>18.080701577672802</v>
      </c>
      <c r="L41" s="13">
        <f t="shared" si="2"/>
        <v>13.080701577672802</v>
      </c>
      <c r="M41" s="13">
        <f t="shared" si="3"/>
        <v>1</v>
      </c>
      <c r="N41" s="22">
        <f t="shared" si="6"/>
        <v>0</v>
      </c>
      <c r="O41" s="22"/>
    </row>
    <row r="42" spans="1:15" x14ac:dyDescent="0.25">
      <c r="A42" s="2">
        <v>42</v>
      </c>
      <c r="B42" s="32">
        <v>0</v>
      </c>
      <c r="C42" s="2">
        <f t="shared" si="0"/>
        <v>0</v>
      </c>
      <c r="D42" s="8">
        <f t="shared" si="4"/>
        <v>0</v>
      </c>
      <c r="E42" s="9">
        <f>SUM(B42:B$60)</f>
        <v>1</v>
      </c>
      <c r="F42" s="19">
        <f t="shared" si="7"/>
        <v>0.99958298582151794</v>
      </c>
      <c r="G42"/>
      <c r="H42"/>
      <c r="I42"/>
      <c r="K42" s="13">
        <f t="shared" si="5"/>
        <v>18.702685687861404</v>
      </c>
      <c r="L42" s="13">
        <f t="shared" si="2"/>
        <v>13.702685687861404</v>
      </c>
      <c r="M42" s="13">
        <f t="shared" si="3"/>
        <v>1</v>
      </c>
      <c r="N42" s="22">
        <f t="shared" si="6"/>
        <v>0</v>
      </c>
      <c r="O42" s="22"/>
    </row>
    <row r="43" spans="1:15" x14ac:dyDescent="0.25">
      <c r="A43" s="2">
        <v>43</v>
      </c>
      <c r="B43" s="32">
        <v>0</v>
      </c>
      <c r="C43" s="2">
        <f t="shared" si="0"/>
        <v>0</v>
      </c>
      <c r="D43" s="8">
        <f t="shared" si="4"/>
        <v>0</v>
      </c>
      <c r="E43" s="9">
        <f>SUM(B43:B$60)</f>
        <v>1</v>
      </c>
      <c r="F43" s="19">
        <f t="shared" si="7"/>
        <v>0.99958298582151794</v>
      </c>
      <c r="G43"/>
      <c r="H43"/>
      <c r="I43"/>
      <c r="K43" s="13">
        <f t="shared" si="5"/>
        <v>19.324669798050007</v>
      </c>
      <c r="L43" s="13">
        <f t="shared" si="2"/>
        <v>14.324669798050007</v>
      </c>
      <c r="M43" s="13">
        <f t="shared" si="3"/>
        <v>1</v>
      </c>
      <c r="N43" s="22">
        <f t="shared" si="6"/>
        <v>0</v>
      </c>
      <c r="O43" s="22"/>
    </row>
    <row r="44" spans="1:15" x14ac:dyDescent="0.25">
      <c r="A44" s="2">
        <v>44</v>
      </c>
      <c r="B44" s="32">
        <v>0</v>
      </c>
      <c r="C44" s="2">
        <f t="shared" si="0"/>
        <v>0</v>
      </c>
      <c r="D44" s="8">
        <f t="shared" si="4"/>
        <v>0</v>
      </c>
      <c r="E44" s="9">
        <f>SUM(B44:B$60)</f>
        <v>1</v>
      </c>
      <c r="F44" s="19">
        <f t="shared" si="7"/>
        <v>0.99958298582151794</v>
      </c>
      <c r="G44"/>
      <c r="H44"/>
      <c r="I44"/>
      <c r="K44" s="13">
        <f t="shared" si="5"/>
        <v>19.946653908238609</v>
      </c>
      <c r="L44" s="13">
        <f t="shared" si="2"/>
        <v>14.946653908238609</v>
      </c>
      <c r="M44" s="13">
        <f t="shared" si="3"/>
        <v>1</v>
      </c>
      <c r="N44" s="22">
        <f t="shared" si="6"/>
        <v>0</v>
      </c>
      <c r="O44" s="22"/>
    </row>
    <row r="45" spans="1:15" x14ac:dyDescent="0.25">
      <c r="A45" s="2">
        <v>45</v>
      </c>
      <c r="B45" s="32">
        <v>0</v>
      </c>
      <c r="C45" s="2">
        <f t="shared" si="0"/>
        <v>0</v>
      </c>
      <c r="D45" s="8">
        <f t="shared" si="4"/>
        <v>0</v>
      </c>
      <c r="E45" s="9">
        <f>SUM(B45:B$60)</f>
        <v>1</v>
      </c>
      <c r="F45" s="19">
        <f t="shared" si="7"/>
        <v>0.99958298582151794</v>
      </c>
      <c r="G45"/>
      <c r="H45"/>
      <c r="I45"/>
      <c r="K45" s="13">
        <f t="shared" si="5"/>
        <v>20.568638018427212</v>
      </c>
      <c r="L45" s="13">
        <f t="shared" si="2"/>
        <v>15.568638018427212</v>
      </c>
      <c r="M45" s="13">
        <f t="shared" si="3"/>
        <v>1</v>
      </c>
      <c r="N45" s="22">
        <f t="shared" si="6"/>
        <v>0</v>
      </c>
      <c r="O45" s="22"/>
    </row>
    <row r="46" spans="1:15" x14ac:dyDescent="0.25">
      <c r="A46" s="2">
        <v>46</v>
      </c>
      <c r="B46" s="32">
        <v>0</v>
      </c>
      <c r="C46" s="2">
        <f t="shared" si="0"/>
        <v>0</v>
      </c>
      <c r="D46" s="8">
        <f t="shared" si="4"/>
        <v>0</v>
      </c>
      <c r="E46" s="9">
        <f>SUM(B46:B$60)</f>
        <v>1</v>
      </c>
      <c r="F46" s="19">
        <f t="shared" si="7"/>
        <v>0.99958298582151794</v>
      </c>
      <c r="G46"/>
      <c r="H46"/>
      <c r="I46"/>
      <c r="K46" s="13">
        <f t="shared" si="5"/>
        <v>21.190622128615814</v>
      </c>
      <c r="L46" s="13">
        <f t="shared" si="2"/>
        <v>16.190622128615814</v>
      </c>
      <c r="M46" s="13">
        <f t="shared" si="3"/>
        <v>1</v>
      </c>
      <c r="N46" s="22">
        <f t="shared" si="6"/>
        <v>0</v>
      </c>
      <c r="O46" s="22"/>
    </row>
    <row r="47" spans="1:15" x14ac:dyDescent="0.25">
      <c r="A47" s="2">
        <v>47</v>
      </c>
      <c r="B47" s="32">
        <v>0</v>
      </c>
      <c r="C47" s="2">
        <f t="shared" si="0"/>
        <v>0</v>
      </c>
      <c r="D47" s="8">
        <f t="shared" si="4"/>
        <v>0</v>
      </c>
      <c r="E47" s="9">
        <f>SUM(B47:B$60)</f>
        <v>1</v>
      </c>
      <c r="F47" s="19">
        <f t="shared" si="7"/>
        <v>0.99958298582151794</v>
      </c>
      <c r="G47"/>
      <c r="H47"/>
      <c r="I47"/>
      <c r="K47" s="13">
        <f t="shared" si="5"/>
        <v>21.812606238804417</v>
      </c>
      <c r="L47" s="13">
        <f t="shared" si="2"/>
        <v>16.812606238804417</v>
      </c>
      <c r="M47" s="13">
        <f t="shared" si="3"/>
        <v>1</v>
      </c>
      <c r="N47" s="22">
        <f t="shared" si="6"/>
        <v>0</v>
      </c>
      <c r="O47" s="22"/>
    </row>
    <row r="48" spans="1:15" x14ac:dyDescent="0.25">
      <c r="A48" s="2">
        <v>48</v>
      </c>
      <c r="B48" s="32">
        <v>0</v>
      </c>
      <c r="C48" s="2">
        <f t="shared" si="0"/>
        <v>0</v>
      </c>
      <c r="D48" s="8">
        <f t="shared" si="4"/>
        <v>0</v>
      </c>
      <c r="E48" s="9">
        <f>SUM(B48:B$60)</f>
        <v>1</v>
      </c>
      <c r="F48" s="19">
        <f t="shared" si="7"/>
        <v>0.99958298582151794</v>
      </c>
      <c r="G48"/>
      <c r="H48"/>
      <c r="I48"/>
      <c r="K48" s="13">
        <f t="shared" si="5"/>
        <v>22.434590348993019</v>
      </c>
      <c r="L48" s="13">
        <f t="shared" si="2"/>
        <v>17.434590348993019</v>
      </c>
      <c r="M48" s="13">
        <f t="shared" si="3"/>
        <v>1</v>
      </c>
      <c r="N48" s="22">
        <f t="shared" si="6"/>
        <v>0</v>
      </c>
      <c r="O48" s="22"/>
    </row>
    <row r="49" spans="1:15" x14ac:dyDescent="0.25">
      <c r="A49" s="2">
        <v>49</v>
      </c>
      <c r="B49" s="32">
        <v>0</v>
      </c>
      <c r="C49" s="2">
        <f t="shared" si="0"/>
        <v>0</v>
      </c>
      <c r="D49" s="8">
        <f t="shared" si="4"/>
        <v>0</v>
      </c>
      <c r="E49" s="9">
        <f>SUM(B49:B$60)</f>
        <v>1</v>
      </c>
      <c r="F49" s="19">
        <f t="shared" si="7"/>
        <v>0.99958298582151794</v>
      </c>
      <c r="G49"/>
      <c r="H49"/>
      <c r="I49"/>
      <c r="K49" s="13">
        <f t="shared" si="5"/>
        <v>23.056574459181622</v>
      </c>
      <c r="L49" s="13">
        <f t="shared" si="2"/>
        <v>18.056574459181622</v>
      </c>
      <c r="M49" s="13">
        <f t="shared" si="3"/>
        <v>1</v>
      </c>
      <c r="N49" s="22">
        <f t="shared" si="6"/>
        <v>0</v>
      </c>
      <c r="O49" s="22"/>
    </row>
    <row r="50" spans="1:15" x14ac:dyDescent="0.25">
      <c r="A50" s="2">
        <v>50</v>
      </c>
      <c r="B50" s="32">
        <v>0</v>
      </c>
      <c r="C50" s="2">
        <f t="shared" si="0"/>
        <v>0</v>
      </c>
      <c r="D50" s="8">
        <f t="shared" si="4"/>
        <v>0</v>
      </c>
      <c r="E50" s="9">
        <f>SUM(B50:B$60)</f>
        <v>1</v>
      </c>
      <c r="F50" s="19">
        <f t="shared" si="7"/>
        <v>0.99958298582151794</v>
      </c>
      <c r="G50"/>
      <c r="H50"/>
      <c r="I50"/>
      <c r="K50" s="13">
        <f t="shared" si="5"/>
        <v>23.678558569370225</v>
      </c>
      <c r="L50" s="13">
        <f t="shared" si="2"/>
        <v>18.678558569370225</v>
      </c>
      <c r="M50" s="13">
        <f t="shared" si="3"/>
        <v>1</v>
      </c>
      <c r="N50" s="22">
        <f t="shared" si="6"/>
        <v>0</v>
      </c>
      <c r="O50" s="22"/>
    </row>
    <row r="51" spans="1:15" x14ac:dyDescent="0.25">
      <c r="A51" s="2">
        <v>51</v>
      </c>
      <c r="B51" s="31">
        <v>0</v>
      </c>
      <c r="C51" s="2">
        <f t="shared" si="0"/>
        <v>0</v>
      </c>
      <c r="D51" s="8">
        <f t="shared" si="4"/>
        <v>0</v>
      </c>
      <c r="E51" s="9">
        <f>SUM(B51:B$60)</f>
        <v>1</v>
      </c>
      <c r="F51" s="19">
        <f t="shared" si="7"/>
        <v>0.99958298582151794</v>
      </c>
      <c r="G51"/>
      <c r="H51"/>
      <c r="I51"/>
      <c r="K51" s="13">
        <f t="shared" si="5"/>
        <v>24.300542679558827</v>
      </c>
      <c r="L51" s="13">
        <f t="shared" si="2"/>
        <v>19.300542679558827</v>
      </c>
      <c r="M51" s="13">
        <f t="shared" si="3"/>
        <v>1</v>
      </c>
      <c r="N51" s="22">
        <f t="shared" si="6"/>
        <v>0</v>
      </c>
      <c r="O51" s="22"/>
    </row>
    <row r="52" spans="1:15" x14ac:dyDescent="0.25">
      <c r="A52" s="2">
        <v>52</v>
      </c>
      <c r="B52" s="31">
        <v>0</v>
      </c>
      <c r="C52" s="2">
        <f t="shared" si="0"/>
        <v>0.25</v>
      </c>
      <c r="D52" s="8">
        <f t="shared" si="4"/>
        <v>0</v>
      </c>
      <c r="E52" s="9">
        <f>SUM(B52:B$60)</f>
        <v>1</v>
      </c>
      <c r="F52" s="19">
        <f t="shared" si="7"/>
        <v>0.99958298582151794</v>
      </c>
      <c r="G52"/>
      <c r="H52"/>
      <c r="I52"/>
      <c r="K52" s="13">
        <f t="shared" si="5"/>
        <v>24.92252678974743</v>
      </c>
      <c r="L52" s="13">
        <f t="shared" si="2"/>
        <v>19.92252678974743</v>
      </c>
      <c r="M52" s="13">
        <f t="shared" si="3"/>
        <v>1</v>
      </c>
      <c r="N52" s="22">
        <f t="shared" si="6"/>
        <v>0</v>
      </c>
      <c r="O52" s="22"/>
    </row>
    <row r="53" spans="1:15" x14ac:dyDescent="0.25">
      <c r="A53" s="2">
        <v>53</v>
      </c>
      <c r="B53" s="31">
        <v>0</v>
      </c>
      <c r="C53" s="2">
        <f t="shared" si="0"/>
        <v>0.25</v>
      </c>
      <c r="D53" s="8">
        <f t="shared" si="4"/>
        <v>0</v>
      </c>
      <c r="E53" s="9">
        <f>SUM(B53:B$60)</f>
        <v>1</v>
      </c>
      <c r="F53" s="19">
        <f t="shared" si="7"/>
        <v>0.99958298582151794</v>
      </c>
      <c r="G53"/>
      <c r="H53"/>
      <c r="I53"/>
      <c r="K53" s="13">
        <f t="shared" si="5"/>
        <v>25.544510899936036</v>
      </c>
      <c r="L53" s="13">
        <f t="shared" si="2"/>
        <v>20.544510899936036</v>
      </c>
      <c r="M53" s="13">
        <f t="shared" si="3"/>
        <v>1</v>
      </c>
      <c r="N53" s="22">
        <f t="shared" si="6"/>
        <v>0</v>
      </c>
      <c r="O53" s="22"/>
    </row>
    <row r="54" spans="1:15" x14ac:dyDescent="0.25">
      <c r="A54" s="2">
        <v>54</v>
      </c>
      <c r="B54" s="31">
        <v>0</v>
      </c>
      <c r="C54" s="2">
        <f t="shared" si="0"/>
        <v>0.25</v>
      </c>
      <c r="D54" s="8">
        <f t="shared" si="4"/>
        <v>0</v>
      </c>
      <c r="E54" s="9">
        <f>SUM(B54:B$60)</f>
        <v>1</v>
      </c>
      <c r="F54" s="19">
        <f t="shared" si="7"/>
        <v>0.99958298582151794</v>
      </c>
      <c r="G54"/>
      <c r="H54"/>
      <c r="I54"/>
      <c r="K54" s="13">
        <f t="shared" si="5"/>
        <v>26.166495010124635</v>
      </c>
      <c r="L54" s="13">
        <f t="shared" si="2"/>
        <v>21.166495010124635</v>
      </c>
      <c r="M54" s="13">
        <f t="shared" si="3"/>
        <v>1</v>
      </c>
      <c r="N54" s="22">
        <f t="shared" si="6"/>
        <v>0</v>
      </c>
      <c r="O54" s="22"/>
    </row>
    <row r="55" spans="1:15" x14ac:dyDescent="0.25">
      <c r="A55" s="2">
        <v>55</v>
      </c>
      <c r="B55" s="31">
        <v>1</v>
      </c>
      <c r="C55" s="2">
        <f t="shared" si="0"/>
        <v>0.25</v>
      </c>
      <c r="D55" s="8">
        <f t="shared" si="4"/>
        <v>3.7893141341417205E-2</v>
      </c>
      <c r="E55" s="9">
        <f>SUM(B55:B$60)</f>
        <v>1</v>
      </c>
      <c r="F55" s="19">
        <f t="shared" si="7"/>
        <v>0.99958298582151794</v>
      </c>
      <c r="G55"/>
      <c r="H55"/>
      <c r="I55"/>
      <c r="K55" s="13">
        <f t="shared" si="5"/>
        <v>26.788479120313234</v>
      </c>
      <c r="L55" s="13">
        <f t="shared" si="2"/>
        <v>21.788479120313234</v>
      </c>
      <c r="M55" s="13">
        <f t="shared" si="3"/>
        <v>1</v>
      </c>
      <c r="N55" s="22">
        <f t="shared" si="6"/>
        <v>0</v>
      </c>
      <c r="O55" s="22"/>
    </row>
    <row r="56" spans="1:15" x14ac:dyDescent="0.25">
      <c r="A56" s="2">
        <v>56</v>
      </c>
      <c r="B56" s="31">
        <v>0</v>
      </c>
      <c r="C56" s="2">
        <f t="shared" si="0"/>
        <v>0</v>
      </c>
      <c r="D56" s="8">
        <f t="shared" si="4"/>
        <v>0</v>
      </c>
      <c r="E56" s="9">
        <f>SUM(B56:B$60)</f>
        <v>0</v>
      </c>
      <c r="F56" s="19">
        <f t="shared" si="7"/>
        <v>1</v>
      </c>
      <c r="G56"/>
      <c r="H56"/>
      <c r="I56"/>
      <c r="K56" s="13">
        <f t="shared" si="5"/>
        <v>27.41046323050184</v>
      </c>
      <c r="L56" s="13">
        <f t="shared" si="2"/>
        <v>22.41046323050184</v>
      </c>
      <c r="M56" s="13">
        <f t="shared" si="3"/>
        <v>1</v>
      </c>
      <c r="N56" s="22"/>
    </row>
    <row r="57" spans="1:15" x14ac:dyDescent="0.25">
      <c r="A57" s="2">
        <v>57</v>
      </c>
      <c r="B57" s="31">
        <v>0</v>
      </c>
      <c r="C57" s="2">
        <f>SUM(B57:B60)/4</f>
        <v>0</v>
      </c>
      <c r="D57" s="8">
        <f t="shared" si="4"/>
        <v>0</v>
      </c>
      <c r="E57" s="9">
        <f>SUM(B57:B$60)</f>
        <v>0</v>
      </c>
      <c r="F57" s="19">
        <f t="shared" si="7"/>
        <v>1</v>
      </c>
      <c r="G57"/>
      <c r="H57"/>
      <c r="I57"/>
      <c r="K57" s="13"/>
      <c r="L57" s="13"/>
      <c r="M57" s="13"/>
      <c r="N57" s="22"/>
    </row>
    <row r="58" spans="1:15" x14ac:dyDescent="0.25">
      <c r="A58" s="2">
        <v>58</v>
      </c>
      <c r="B58" s="31">
        <v>0</v>
      </c>
      <c r="D58" s="8">
        <f t="shared" si="4"/>
        <v>0</v>
      </c>
      <c r="G58"/>
      <c r="H58"/>
      <c r="I58"/>
    </row>
    <row r="59" spans="1:15" x14ac:dyDescent="0.25">
      <c r="A59" s="2">
        <v>59</v>
      </c>
      <c r="B59" s="31">
        <v>0</v>
      </c>
      <c r="D59" s="8">
        <f t="shared" si="4"/>
        <v>0</v>
      </c>
      <c r="G59"/>
      <c r="H59"/>
      <c r="I59"/>
    </row>
    <row r="60" spans="1:15" x14ac:dyDescent="0.25">
      <c r="A60" s="2">
        <v>60</v>
      </c>
      <c r="B60" s="31">
        <v>0</v>
      </c>
      <c r="D60" s="8">
        <f t="shared" si="4"/>
        <v>0</v>
      </c>
      <c r="G60"/>
      <c r="H60"/>
      <c r="I60"/>
    </row>
    <row r="61" spans="1:15" x14ac:dyDescent="0.25">
      <c r="A61" t="s">
        <v>28</v>
      </c>
      <c r="B61">
        <f>SUM(B6:B60)</f>
        <v>2639</v>
      </c>
      <c r="G61"/>
      <c r="H61"/>
      <c r="I61"/>
    </row>
    <row r="62" spans="1:15" x14ac:dyDescent="0.25">
      <c r="A62" s="3" t="s">
        <v>29</v>
      </c>
      <c r="B62" s="15">
        <f>(SUM(B20:B60))*2</f>
        <v>2398</v>
      </c>
      <c r="G62"/>
      <c r="H62"/>
      <c r="I62"/>
    </row>
    <row r="63" spans="1:15" x14ac:dyDescent="0.25">
      <c r="B63" s="11"/>
      <c r="G63"/>
      <c r="H63"/>
      <c r="I63"/>
    </row>
    <row r="64" spans="1:15" x14ac:dyDescent="0.25">
      <c r="B64" s="14"/>
      <c r="G64"/>
      <c r="H64"/>
      <c r="I64"/>
    </row>
    <row r="65" spans="1:9" x14ac:dyDescent="0.25">
      <c r="A65" t="s">
        <v>13</v>
      </c>
      <c r="B65" s="2"/>
      <c r="C65" s="2">
        <v>17</v>
      </c>
      <c r="G65"/>
      <c r="H65"/>
      <c r="I65"/>
    </row>
    <row r="66" spans="1:9" x14ac:dyDescent="0.25">
      <c r="A66" s="20" t="s">
        <v>19</v>
      </c>
      <c r="B66" s="2"/>
      <c r="C66" s="2">
        <v>18</v>
      </c>
      <c r="E66" s="26"/>
      <c r="G66"/>
      <c r="H66"/>
      <c r="I66"/>
    </row>
    <row r="67" spans="1:9" x14ac:dyDescent="0.25">
      <c r="A67" s="2" t="s">
        <v>14</v>
      </c>
      <c r="B67" s="2"/>
      <c r="G67"/>
      <c r="H67"/>
      <c r="I67"/>
    </row>
    <row r="68" spans="1:9" x14ac:dyDescent="0.25">
      <c r="A68" s="2" t="s">
        <v>15</v>
      </c>
      <c r="B68" s="2"/>
      <c r="C68" s="33">
        <f>(C17/C18)*100</f>
        <v>90.005047955577993</v>
      </c>
      <c r="D68" s="12"/>
      <c r="G68"/>
      <c r="H68"/>
      <c r="I68"/>
    </row>
    <row r="69" spans="1:9" x14ac:dyDescent="0.25">
      <c r="A69" s="2"/>
      <c r="B69" s="2"/>
      <c r="C69" s="9">
        <f>(C18/C18)*100</f>
        <v>100</v>
      </c>
      <c r="D69" s="12"/>
      <c r="G69"/>
      <c r="H69"/>
      <c r="I69"/>
    </row>
    <row r="70" spans="1:9" x14ac:dyDescent="0.25">
      <c r="A70" s="2" t="s">
        <v>16</v>
      </c>
      <c r="B70" s="2"/>
      <c r="C70" s="33">
        <f>(C19/C18)*100</f>
        <v>87.582029278142343</v>
      </c>
      <c r="D70" s="12"/>
      <c r="G70"/>
      <c r="H70"/>
      <c r="I70"/>
    </row>
    <row r="71" spans="1:9" x14ac:dyDescent="0.25">
      <c r="A71" t="s">
        <v>17</v>
      </c>
      <c r="B71" s="2"/>
      <c r="C71" s="2">
        <v>0</v>
      </c>
      <c r="H71"/>
      <c r="I71"/>
    </row>
    <row r="72" spans="1:9" x14ac:dyDescent="0.25">
      <c r="H72"/>
      <c r="I72"/>
    </row>
    <row r="73" spans="1:9" x14ac:dyDescent="0.25">
      <c r="A73" s="3" t="s">
        <v>30</v>
      </c>
      <c r="B73" s="18">
        <v>19.5</v>
      </c>
      <c r="F73" s="8"/>
      <c r="I73"/>
    </row>
    <row r="74" spans="1:9" x14ac:dyDescent="0.25">
      <c r="B74" s="2"/>
      <c r="F74" s="8"/>
      <c r="I74"/>
    </row>
    <row r="75" spans="1:9" x14ac:dyDescent="0.25">
      <c r="B75" s="2"/>
      <c r="F75" s="8"/>
      <c r="I75"/>
    </row>
    <row r="76" spans="1:9" x14ac:dyDescent="0.25">
      <c r="B76" s="2"/>
      <c r="F76" s="8"/>
      <c r="I76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.7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Disc-NRI</vt:lpstr>
      <vt:lpstr>Disc Plot</vt:lpstr>
    </vt:vector>
  </TitlesOfParts>
  <Company>life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Smith</dc:creator>
  <cp:lastModifiedBy>Göran</cp:lastModifiedBy>
  <cp:lastPrinted>2016-02-25T08:29:23Z</cp:lastPrinted>
  <dcterms:created xsi:type="dcterms:W3CDTF">2015-11-20T11:30:03Z</dcterms:created>
  <dcterms:modified xsi:type="dcterms:W3CDTF">2016-02-25T09:57:59Z</dcterms:modified>
</cp:coreProperties>
</file>